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ustomProperty1.bin" ContentType="application/vnd.openxmlformats-officedocument.spreadsheetml.customProperty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580"/>
  </bookViews>
  <sheets>
    <sheet name="Stimmzettel" sheetId="1" r:id="rId1"/>
    <sheet name="Konfiguration" sheetId="2" state="hidden" r:id="rId2"/>
    <sheet name="Tabelle2" sheetId="5" state="hidden" r:id="rId3"/>
  </sheets>
  <definedNames>
    <definedName name="AlleListGueltigeEinzelstimmen">Stimmzettel!#REF!</definedName>
    <definedName name="AlleListVergebeneListenstimmen">Stimmzettel!#REF!</definedName>
    <definedName name="AlleListVergebeneStimmen">Stimmzettel!#REF!</definedName>
    <definedName name="GueltigeEinzelstimmen">Stimmzettel!$B$8</definedName>
    <definedName name="GueltigeStimmen">Stimmzettel!$B$13</definedName>
    <definedName name="ListenkreuzeOk">Stimmzettel!$B$12</definedName>
    <definedName name="MaxES">Konfiguration!$B$3</definedName>
    <definedName name="MaxStimmen">Stimmzettel!$B$5</definedName>
    <definedName name="Reststimmen">Stimmzettel!$B$10</definedName>
    <definedName name="StimmenzahlOk">Stimmzettel!$B$7</definedName>
    <definedName name="VergebeneEinzelstimmen">Stimmzettel!$B$6</definedName>
    <definedName name="VergebeneListenstimmen">Stimmzettel!$B$11</definedName>
  </definedNames>
  <calcPr calcId="145621"/>
</workbook>
</file>

<file path=xl/calcChain.xml><?xml version="1.0" encoding="utf-8"?>
<calcChain xmlns="http://schemas.openxmlformats.org/spreadsheetml/2006/main">
  <c r="DH5" i="1" l="1"/>
  <c r="DJ5" i="1" a="1"/>
  <c r="DJ5" i="1" s="1"/>
  <c r="DH6" i="1"/>
  <c r="DJ6" i="1" a="1"/>
  <c r="DJ6" i="1"/>
  <c r="DH7" i="1"/>
  <c r="DJ7" i="1" a="1"/>
  <c r="DJ7" i="1"/>
  <c r="DH8" i="1"/>
  <c r="DJ8" i="1" a="1"/>
  <c r="DJ8" i="1"/>
  <c r="DH9" i="1"/>
  <c r="DJ9" i="1" a="1"/>
  <c r="DJ9" i="1" s="1"/>
  <c r="DH10" i="1"/>
  <c r="DJ10" i="1" a="1"/>
  <c r="DJ10" i="1"/>
  <c r="DH11" i="1"/>
  <c r="DJ11" i="1" a="1"/>
  <c r="DJ11" i="1"/>
  <c r="DH12" i="1"/>
  <c r="DJ12" i="1" a="1"/>
  <c r="DJ12" i="1"/>
  <c r="DH13" i="1"/>
  <c r="DJ13" i="1" a="1"/>
  <c r="DJ13" i="1" s="1"/>
  <c r="DH14" i="1"/>
  <c r="DJ14" i="1" a="1"/>
  <c r="DJ14" i="1"/>
  <c r="DH15" i="1"/>
  <c r="DJ15" i="1" a="1"/>
  <c r="DJ15" i="1"/>
  <c r="DH16" i="1"/>
  <c r="DJ16" i="1" a="1"/>
  <c r="DJ16" i="1"/>
  <c r="DH17" i="1"/>
  <c r="DJ17" i="1" a="1"/>
  <c r="DJ17" i="1" s="1"/>
  <c r="DH18" i="1"/>
  <c r="DJ18" i="1" a="1"/>
  <c r="DJ18" i="1"/>
  <c r="DH19" i="1"/>
  <c r="DJ19" i="1" a="1"/>
  <c r="DJ19" i="1"/>
  <c r="DH20" i="1"/>
  <c r="DJ20" i="1" a="1"/>
  <c r="DJ20" i="1"/>
  <c r="DH21" i="1"/>
  <c r="DJ21" i="1" a="1"/>
  <c r="DJ21" i="1" s="1"/>
  <c r="DH22" i="1"/>
  <c r="DI40" i="1" s="1" a="1"/>
  <c r="DI40" i="1" s="1"/>
  <c r="DJ22" i="1" a="1"/>
  <c r="DJ22" i="1"/>
  <c r="DH23" i="1"/>
  <c r="DJ23" i="1" a="1"/>
  <c r="DJ23" i="1"/>
  <c r="DH24" i="1"/>
  <c r="DJ24" i="1" a="1"/>
  <c r="DJ24" i="1"/>
  <c r="DH25" i="1"/>
  <c r="DJ25" i="1" a="1"/>
  <c r="DJ25" i="1" s="1"/>
  <c r="DH26" i="1"/>
  <c r="DJ26" i="1" a="1"/>
  <c r="DJ26" i="1"/>
  <c r="DH27" i="1"/>
  <c r="DI27" i="1" a="1"/>
  <c r="DI27" i="1" s="1"/>
  <c r="DJ27" i="1" a="1"/>
  <c r="DJ27" i="1"/>
  <c r="DH28" i="1"/>
  <c r="DJ28" i="1" a="1"/>
  <c r="DJ28" i="1"/>
  <c r="DH29" i="1"/>
  <c r="DJ29" i="1" a="1"/>
  <c r="DJ29" i="1" s="1"/>
  <c r="DH30" i="1"/>
  <c r="DJ30" i="1" a="1"/>
  <c r="DJ30" i="1"/>
  <c r="DH31" i="1"/>
  <c r="DJ31" i="1" a="1"/>
  <c r="DJ31" i="1"/>
  <c r="DH32" i="1"/>
  <c r="DJ32" i="1" a="1"/>
  <c r="DJ32" i="1"/>
  <c r="DH33" i="1"/>
  <c r="DJ33" i="1" a="1"/>
  <c r="DJ33" i="1" s="1"/>
  <c r="DH34" i="1"/>
  <c r="DJ34" i="1" a="1"/>
  <c r="DJ34" i="1"/>
  <c r="DH35" i="1"/>
  <c r="DJ35" i="1" a="1"/>
  <c r="DJ35" i="1"/>
  <c r="DH36" i="1"/>
  <c r="DJ36" i="1" a="1"/>
  <c r="DJ36" i="1" s="1"/>
  <c r="DH37" i="1"/>
  <c r="DJ37" i="1" a="1"/>
  <c r="DJ37" i="1" s="1"/>
  <c r="DH38" i="1"/>
  <c r="DJ38" i="1" a="1"/>
  <c r="DJ38" i="1"/>
  <c r="DH39" i="1"/>
  <c r="DI39" i="1" a="1"/>
  <c r="DI39" i="1" s="1"/>
  <c r="DJ39" i="1" a="1"/>
  <c r="DJ39" i="1"/>
  <c r="DH40" i="1"/>
  <c r="DJ40" i="1" a="1"/>
  <c r="DJ40" i="1" s="1"/>
  <c r="DH41" i="1"/>
  <c r="DJ41" i="1" a="1"/>
  <c r="DJ41" i="1" s="1"/>
  <c r="DE42" i="1"/>
  <c r="CU51" i="1"/>
  <c r="CU52" i="1"/>
  <c r="CW51" i="1" a="1"/>
  <c r="CW51" i="1"/>
  <c r="CW52" i="1" a="1"/>
  <c r="CW52" i="1" s="1"/>
  <c r="CU35" i="1"/>
  <c r="CU36" i="1"/>
  <c r="CU37" i="1"/>
  <c r="CU38" i="1"/>
  <c r="CU39" i="1"/>
  <c r="CU40" i="1"/>
  <c r="CU41" i="1"/>
  <c r="CU42" i="1"/>
  <c r="CU43" i="1"/>
  <c r="CW35" i="1" a="1"/>
  <c r="CW35" i="1" s="1"/>
  <c r="CW36" i="1" a="1"/>
  <c r="CW36" i="1" s="1"/>
  <c r="CW37" i="1" a="1"/>
  <c r="CW37" i="1" s="1"/>
  <c r="CW38" i="1" a="1"/>
  <c r="CW38" i="1" s="1"/>
  <c r="CW39" i="1" a="1"/>
  <c r="CW39" i="1" s="1"/>
  <c r="CW40" i="1" a="1"/>
  <c r="CW40" i="1" s="1"/>
  <c r="CW41" i="1" a="1"/>
  <c r="CW41" i="1" s="1"/>
  <c r="CW42" i="1" a="1"/>
  <c r="CW42" i="1" s="1"/>
  <c r="CW43" i="1" a="1"/>
  <c r="CW43" i="1" s="1"/>
  <c r="CH49" i="1"/>
  <c r="CH50" i="1"/>
  <c r="CH51" i="1"/>
  <c r="CJ49" i="1" a="1"/>
  <c r="CJ49" i="1" s="1"/>
  <c r="CJ50" i="1" a="1"/>
  <c r="CJ50" i="1" s="1"/>
  <c r="CJ51" i="1" a="1"/>
  <c r="CJ51" i="1" s="1"/>
  <c r="CH38" i="1"/>
  <c r="CH39" i="1"/>
  <c r="CH40" i="1"/>
  <c r="CH41" i="1"/>
  <c r="CH42" i="1"/>
  <c r="CH43" i="1"/>
  <c r="CH44" i="1"/>
  <c r="CJ38" i="1" a="1"/>
  <c r="CJ38" i="1" s="1"/>
  <c r="CJ39" i="1" a="1"/>
  <c r="CJ39" i="1" s="1"/>
  <c r="CJ40" i="1" a="1"/>
  <c r="CJ40" i="1" s="1"/>
  <c r="CJ41" i="1" a="1"/>
  <c r="CJ41" i="1" s="1"/>
  <c r="CJ42" i="1" a="1"/>
  <c r="CJ42" i="1" s="1"/>
  <c r="CJ43" i="1" a="1"/>
  <c r="CJ43" i="1" s="1"/>
  <c r="CJ44" i="1" a="1"/>
  <c r="CJ44" i="1" s="1"/>
  <c r="BH34" i="1"/>
  <c r="BH35" i="1"/>
  <c r="BH36" i="1"/>
  <c r="BH37" i="1"/>
  <c r="BH38" i="1"/>
  <c r="BH39" i="1"/>
  <c r="BH40" i="1"/>
  <c r="BH41" i="1"/>
  <c r="BH42" i="1"/>
  <c r="BH43" i="1"/>
  <c r="BH44" i="1"/>
  <c r="BJ34" i="1" a="1"/>
  <c r="BJ34" i="1" s="1"/>
  <c r="BJ35" i="1" a="1"/>
  <c r="BJ35" i="1" s="1"/>
  <c r="BJ36" i="1" a="1"/>
  <c r="BJ36" i="1" s="1"/>
  <c r="BJ37" i="1" a="1"/>
  <c r="BJ37" i="1" s="1"/>
  <c r="BJ38" i="1" a="1"/>
  <c r="BJ38" i="1" s="1"/>
  <c r="BJ39" i="1" a="1"/>
  <c r="BJ39" i="1" s="1"/>
  <c r="BJ40" i="1" a="1"/>
  <c r="BJ40" i="1" s="1"/>
  <c r="BJ41" i="1" a="1"/>
  <c r="BJ41" i="1" s="1"/>
  <c r="BJ42" i="1" a="1"/>
  <c r="BJ42" i="1" s="1"/>
  <c r="BJ43" i="1" a="1"/>
  <c r="BJ43" i="1" s="1"/>
  <c r="BJ44" i="1" a="1"/>
  <c r="BJ44" i="1" s="1"/>
  <c r="AU50" i="1"/>
  <c r="AW50" i="1" a="1"/>
  <c r="AW50" i="1" s="1"/>
  <c r="AU36" i="1"/>
  <c r="AU37" i="1"/>
  <c r="AU38" i="1"/>
  <c r="AU39" i="1"/>
  <c r="AU40" i="1"/>
  <c r="AU41" i="1"/>
  <c r="AU42" i="1"/>
  <c r="AU43" i="1"/>
  <c r="AU44" i="1"/>
  <c r="AW36" i="1" a="1"/>
  <c r="AW36" i="1" s="1"/>
  <c r="AW37" i="1" a="1"/>
  <c r="AW37" i="1" s="1"/>
  <c r="AW38" i="1" a="1"/>
  <c r="AW38" i="1" s="1"/>
  <c r="AW39" i="1" a="1"/>
  <c r="AW39" i="1" s="1"/>
  <c r="AW40" i="1" a="1"/>
  <c r="AW40" i="1" s="1"/>
  <c r="AW41" i="1" a="1"/>
  <c r="AW41" i="1" s="1"/>
  <c r="AW42" i="1" a="1"/>
  <c r="AW42" i="1" s="1"/>
  <c r="AW43" i="1" a="1"/>
  <c r="AW43" i="1" s="1"/>
  <c r="AW44" i="1" a="1"/>
  <c r="AW44" i="1" s="1"/>
  <c r="AU25" i="1"/>
  <c r="AU26" i="1"/>
  <c r="AU27" i="1"/>
  <c r="AU28" i="1"/>
  <c r="AU29" i="1"/>
  <c r="AU30" i="1"/>
  <c r="AU31" i="1"/>
  <c r="AU32" i="1"/>
  <c r="AU33" i="1"/>
  <c r="AU34" i="1"/>
  <c r="AW25" i="1" a="1"/>
  <c r="AW25" i="1" s="1"/>
  <c r="AW26" i="1" a="1"/>
  <c r="AW26" i="1" s="1"/>
  <c r="AW27" i="1" a="1"/>
  <c r="AW27" i="1" s="1"/>
  <c r="AW28" i="1" a="1"/>
  <c r="AW28" i="1" s="1"/>
  <c r="AW29" i="1" a="1"/>
  <c r="AW29" i="1" s="1"/>
  <c r="AW30" i="1" a="1"/>
  <c r="AW30" i="1" s="1"/>
  <c r="AW31" i="1" a="1"/>
  <c r="AW31" i="1" s="1"/>
  <c r="AW32" i="1" a="1"/>
  <c r="AW32" i="1" s="1"/>
  <c r="AW33" i="1" a="1"/>
  <c r="AW33" i="1" s="1"/>
  <c r="AW34" i="1" a="1"/>
  <c r="AW34" i="1" s="1"/>
  <c r="AH34" i="1"/>
  <c r="AH35" i="1"/>
  <c r="AH36" i="1"/>
  <c r="AH37" i="1"/>
  <c r="AH38" i="1"/>
  <c r="AH39" i="1"/>
  <c r="AH40" i="1"/>
  <c r="AH41" i="1"/>
  <c r="AH42" i="1"/>
  <c r="AH43" i="1"/>
  <c r="AH44" i="1"/>
  <c r="AJ34" i="1" a="1"/>
  <c r="AJ34" i="1" s="1"/>
  <c r="AJ35" i="1" a="1"/>
  <c r="AJ35" i="1" s="1"/>
  <c r="AJ36" i="1" a="1"/>
  <c r="AJ36" i="1" s="1"/>
  <c r="AJ37" i="1" a="1"/>
  <c r="AJ37" i="1" s="1"/>
  <c r="AJ38" i="1" a="1"/>
  <c r="AJ38" i="1" s="1"/>
  <c r="AJ39" i="1" a="1"/>
  <c r="AJ39" i="1" s="1"/>
  <c r="AJ40" i="1" a="1"/>
  <c r="AJ40" i="1" s="1"/>
  <c r="AJ41" i="1" a="1"/>
  <c r="AJ41" i="1" s="1"/>
  <c r="AJ42" i="1" a="1"/>
  <c r="AJ42" i="1" s="1"/>
  <c r="AJ43" i="1" a="1"/>
  <c r="AJ43" i="1" s="1"/>
  <c r="AJ44" i="1" a="1"/>
  <c r="AJ44" i="1" s="1"/>
  <c r="U35" i="1"/>
  <c r="U36" i="1"/>
  <c r="U37" i="1"/>
  <c r="U38" i="1"/>
  <c r="U39" i="1"/>
  <c r="U40" i="1"/>
  <c r="U41" i="1"/>
  <c r="U42" i="1"/>
  <c r="U43" i="1"/>
  <c r="U44" i="1"/>
  <c r="W35" i="1" a="1"/>
  <c r="W35" i="1" s="1"/>
  <c r="W36" i="1" a="1"/>
  <c r="W36" i="1" s="1"/>
  <c r="W37" i="1" a="1"/>
  <c r="W37" i="1" s="1"/>
  <c r="W38" i="1" a="1"/>
  <c r="W38" i="1" s="1"/>
  <c r="W39" i="1" a="1"/>
  <c r="W39" i="1" s="1"/>
  <c r="W40" i="1" a="1"/>
  <c r="W40" i="1" s="1"/>
  <c r="W41" i="1" a="1"/>
  <c r="W41" i="1" s="1"/>
  <c r="W42" i="1" a="1"/>
  <c r="W42" i="1" s="1"/>
  <c r="W43" i="1" a="1"/>
  <c r="W43" i="1" s="1"/>
  <c r="W44" i="1" a="1"/>
  <c r="W44" i="1" s="1"/>
  <c r="H5" i="1"/>
  <c r="J5" i="1" a="1"/>
  <c r="J5" i="1" s="1"/>
  <c r="H6" i="1"/>
  <c r="J6" i="1" a="1"/>
  <c r="J6" i="1" s="1"/>
  <c r="H7" i="1"/>
  <c r="J7" i="1" a="1"/>
  <c r="J7" i="1" s="1"/>
  <c r="H8" i="1"/>
  <c r="J8" i="1" a="1"/>
  <c r="J8" i="1" s="1"/>
  <c r="H9" i="1"/>
  <c r="J9" i="1" a="1"/>
  <c r="J9" i="1" s="1"/>
  <c r="H10" i="1"/>
  <c r="J10" i="1" a="1"/>
  <c r="J10" i="1" s="1"/>
  <c r="H11" i="1"/>
  <c r="J11" i="1" a="1"/>
  <c r="J11" i="1" s="1"/>
  <c r="H12" i="1"/>
  <c r="J12" i="1" a="1"/>
  <c r="J12" i="1" s="1"/>
  <c r="H13" i="1"/>
  <c r="J13" i="1" a="1"/>
  <c r="J13" i="1" s="1"/>
  <c r="H14" i="1"/>
  <c r="J14" i="1" a="1"/>
  <c r="J14" i="1" s="1"/>
  <c r="H15" i="1"/>
  <c r="J15" i="1" a="1"/>
  <c r="J15" i="1" s="1"/>
  <c r="H16" i="1"/>
  <c r="J16" i="1" a="1"/>
  <c r="J16" i="1" s="1"/>
  <c r="H17" i="1"/>
  <c r="J17" i="1" a="1"/>
  <c r="J17" i="1" s="1"/>
  <c r="H18" i="1"/>
  <c r="J18" i="1" a="1"/>
  <c r="J18" i="1" s="1"/>
  <c r="H19" i="1"/>
  <c r="J19" i="1" a="1"/>
  <c r="J19" i="1" s="1"/>
  <c r="H20" i="1"/>
  <c r="J20" i="1" a="1"/>
  <c r="J20" i="1" s="1"/>
  <c r="H21" i="1"/>
  <c r="J21" i="1" a="1"/>
  <c r="J21" i="1" s="1"/>
  <c r="H22" i="1"/>
  <c r="J22" i="1" a="1"/>
  <c r="J22" i="1" s="1"/>
  <c r="H23" i="1"/>
  <c r="J23" i="1" a="1"/>
  <c r="J23" i="1" s="1"/>
  <c r="H24" i="1"/>
  <c r="J24" i="1" a="1"/>
  <c r="J24" i="1" s="1"/>
  <c r="H25" i="1"/>
  <c r="J25" i="1" a="1"/>
  <c r="J25" i="1" s="1"/>
  <c r="H26" i="1"/>
  <c r="J26" i="1" a="1"/>
  <c r="J26" i="1" s="1"/>
  <c r="H27" i="1"/>
  <c r="J27" i="1" a="1"/>
  <c r="J27" i="1" s="1"/>
  <c r="H28" i="1"/>
  <c r="J28" i="1" a="1"/>
  <c r="J28" i="1" s="1"/>
  <c r="H29" i="1"/>
  <c r="J29" i="1" a="1"/>
  <c r="J29" i="1" s="1"/>
  <c r="H30" i="1"/>
  <c r="J30" i="1" a="1"/>
  <c r="J30" i="1" s="1"/>
  <c r="H31" i="1"/>
  <c r="J31" i="1" a="1"/>
  <c r="J31" i="1" s="1"/>
  <c r="H32" i="1"/>
  <c r="J32" i="1" a="1"/>
  <c r="J32" i="1" s="1"/>
  <c r="H33" i="1"/>
  <c r="J33" i="1" a="1"/>
  <c r="J33" i="1" s="1"/>
  <c r="H34" i="1"/>
  <c r="J34" i="1" a="1"/>
  <c r="J34" i="1" s="1"/>
  <c r="H35" i="1"/>
  <c r="J35" i="1" a="1"/>
  <c r="J35" i="1" s="1"/>
  <c r="H36" i="1"/>
  <c r="J36" i="1" a="1"/>
  <c r="J36" i="1" s="1"/>
  <c r="H37" i="1"/>
  <c r="J37" i="1" a="1"/>
  <c r="J37" i="1" s="1"/>
  <c r="H38" i="1"/>
  <c r="J38" i="1" a="1"/>
  <c r="J38" i="1" s="1"/>
  <c r="H39" i="1"/>
  <c r="J39" i="1" a="1"/>
  <c r="J39" i="1" s="1"/>
  <c r="H40" i="1"/>
  <c r="J40" i="1" a="1"/>
  <c r="J40" i="1" s="1"/>
  <c r="H41" i="1"/>
  <c r="J41" i="1" a="1"/>
  <c r="J41" i="1" s="1"/>
  <c r="H42" i="1"/>
  <c r="J42" i="1" a="1"/>
  <c r="J42" i="1" s="1"/>
  <c r="H43" i="1"/>
  <c r="J43" i="1" a="1"/>
  <c r="J43" i="1" s="1"/>
  <c r="H44" i="1"/>
  <c r="J44" i="1" a="1"/>
  <c r="J44" i="1" s="1"/>
  <c r="H45" i="1"/>
  <c r="J45" i="1" a="1"/>
  <c r="J45" i="1" s="1"/>
  <c r="H46" i="1"/>
  <c r="J46" i="1" a="1"/>
  <c r="J46" i="1" s="1"/>
  <c r="H47" i="1"/>
  <c r="J47" i="1" a="1"/>
  <c r="J47" i="1" s="1"/>
  <c r="H48" i="1"/>
  <c r="J48" i="1" a="1"/>
  <c r="J48" i="1" s="1"/>
  <c r="H49" i="1"/>
  <c r="J49" i="1" a="1"/>
  <c r="J49" i="1" s="1"/>
  <c r="H50" i="1"/>
  <c r="J50" i="1" a="1"/>
  <c r="J50" i="1" s="1"/>
  <c r="H51" i="1"/>
  <c r="J51" i="1" a="1"/>
  <c r="J51" i="1" s="1"/>
  <c r="H52" i="1"/>
  <c r="J52" i="1" a="1"/>
  <c r="J52" i="1" s="1"/>
  <c r="H53" i="1"/>
  <c r="J53" i="1" a="1"/>
  <c r="J53" i="1" s="1"/>
  <c r="H54" i="1"/>
  <c r="J54" i="1" a="1"/>
  <c r="J54" i="1" s="1"/>
  <c r="E55" i="1"/>
  <c r="DK40" i="1" l="1"/>
  <c r="DI11" i="1" a="1"/>
  <c r="DI11" i="1" s="1"/>
  <c r="DI6" i="1" a="1"/>
  <c r="DI6" i="1" s="1"/>
  <c r="DI10" i="1" a="1"/>
  <c r="DI10" i="1" s="1"/>
  <c r="DI14" i="1" a="1"/>
  <c r="DI14" i="1" s="1"/>
  <c r="DI18" i="1" a="1"/>
  <c r="DI18" i="1" s="1"/>
  <c r="DI22" i="1" a="1"/>
  <c r="DI22" i="1" s="1"/>
  <c r="DI26" i="1" a="1"/>
  <c r="DI26" i="1" s="1"/>
  <c r="DI30" i="1" a="1"/>
  <c r="DI30" i="1" s="1"/>
  <c r="DI34" i="1" a="1"/>
  <c r="DI34" i="1" s="1"/>
  <c r="DI38" i="1" a="1"/>
  <c r="DI38" i="1" s="1"/>
  <c r="DI5" i="1" a="1"/>
  <c r="DI5" i="1" s="1"/>
  <c r="DI9" i="1" a="1"/>
  <c r="DI9" i="1" s="1"/>
  <c r="DI13" i="1" a="1"/>
  <c r="DI13" i="1" s="1"/>
  <c r="DI17" i="1" a="1"/>
  <c r="DI17" i="1" s="1"/>
  <c r="DI21" i="1" a="1"/>
  <c r="DI21" i="1" s="1"/>
  <c r="DI25" i="1" a="1"/>
  <c r="DI25" i="1" s="1"/>
  <c r="DI29" i="1" a="1"/>
  <c r="DI29" i="1" s="1"/>
  <c r="DI33" i="1" a="1"/>
  <c r="DI33" i="1" s="1"/>
  <c r="DI37" i="1" a="1"/>
  <c r="DI37" i="1" s="1"/>
  <c r="DI41" i="1" a="1"/>
  <c r="DI41" i="1" s="1"/>
  <c r="DI8" i="1" a="1"/>
  <c r="DI8" i="1" s="1"/>
  <c r="DI12" i="1" a="1"/>
  <c r="DI12" i="1" s="1"/>
  <c r="DI16" i="1" a="1"/>
  <c r="DI16" i="1" s="1"/>
  <c r="DI20" i="1" a="1"/>
  <c r="DI20" i="1" s="1"/>
  <c r="DI24" i="1" a="1"/>
  <c r="DI24" i="1" s="1"/>
  <c r="DI28" i="1" a="1"/>
  <c r="DI28" i="1" s="1"/>
  <c r="DI32" i="1" a="1"/>
  <c r="DI32" i="1" s="1"/>
  <c r="DI36" i="1" a="1"/>
  <c r="DI36" i="1" s="1"/>
  <c r="DK39" i="1"/>
  <c r="DI31" i="1" a="1"/>
  <c r="DI31" i="1" s="1"/>
  <c r="DK27" i="1"/>
  <c r="DI15" i="1" a="1"/>
  <c r="DI15" i="1" s="1"/>
  <c r="DI35" i="1" a="1"/>
  <c r="DI35" i="1" s="1"/>
  <c r="DI19" i="1" a="1"/>
  <c r="DI19" i="1" s="1"/>
  <c r="DJ42" i="1"/>
  <c r="DI23" i="1" a="1"/>
  <c r="DI23" i="1" s="1"/>
  <c r="DI7" i="1" a="1"/>
  <c r="DI7" i="1" s="1"/>
  <c r="I43" i="1" a="1"/>
  <c r="I43" i="1" s="1"/>
  <c r="K43" i="1" s="1"/>
  <c r="J55" i="1"/>
  <c r="I51" i="1" a="1"/>
  <c r="I51" i="1" s="1"/>
  <c r="I15" i="1" a="1"/>
  <c r="I15" i="1" s="1"/>
  <c r="I9" i="1" a="1"/>
  <c r="I9" i="1" s="1"/>
  <c r="I46" i="1" a="1"/>
  <c r="I46" i="1" s="1"/>
  <c r="I42" i="1" a="1"/>
  <c r="I42" i="1" s="1"/>
  <c r="I40" i="1" a="1"/>
  <c r="I40" i="1" s="1"/>
  <c r="I38" i="1" a="1"/>
  <c r="I38" i="1" s="1"/>
  <c r="I36" i="1" a="1"/>
  <c r="I36" i="1" s="1"/>
  <c r="I34" i="1" a="1"/>
  <c r="I34" i="1" s="1"/>
  <c r="I32" i="1" a="1"/>
  <c r="I32" i="1" s="1"/>
  <c r="I30" i="1" a="1"/>
  <c r="I30" i="1" s="1"/>
  <c r="I28" i="1" a="1"/>
  <c r="I28" i="1" s="1"/>
  <c r="I26" i="1" a="1"/>
  <c r="I26" i="1" s="1"/>
  <c r="I24" i="1" a="1"/>
  <c r="I24" i="1" s="1"/>
  <c r="I22" i="1" a="1"/>
  <c r="I22" i="1" s="1"/>
  <c r="I20" i="1" a="1"/>
  <c r="I20" i="1" s="1"/>
  <c r="I18" i="1" a="1"/>
  <c r="I18" i="1" s="1"/>
  <c r="I16" i="1" a="1"/>
  <c r="I16" i="1" s="1"/>
  <c r="I53" i="1" a="1"/>
  <c r="I53" i="1" s="1"/>
  <c r="I49" i="1" a="1"/>
  <c r="I49" i="1" s="1"/>
  <c r="I13" i="1" a="1"/>
  <c r="I13" i="1" s="1"/>
  <c r="I11" i="1" a="1"/>
  <c r="I11" i="1" s="1"/>
  <c r="I44" i="1" a="1"/>
  <c r="I44" i="1" s="1"/>
  <c r="I54" i="1" a="1"/>
  <c r="I54" i="1" s="1"/>
  <c r="I52" i="1" a="1"/>
  <c r="I52" i="1" s="1"/>
  <c r="I50" i="1" a="1"/>
  <c r="I50" i="1" s="1"/>
  <c r="I48" i="1" a="1"/>
  <c r="I48" i="1" s="1"/>
  <c r="I7" i="1" a="1"/>
  <c r="I7" i="1" s="1"/>
  <c r="I47" i="1" a="1"/>
  <c r="I47" i="1" s="1"/>
  <c r="I45" i="1" a="1"/>
  <c r="I45" i="1" s="1"/>
  <c r="I41" i="1" a="1"/>
  <c r="I41" i="1" s="1"/>
  <c r="I39" i="1" a="1"/>
  <c r="I39" i="1" s="1"/>
  <c r="I37" i="1" a="1"/>
  <c r="I37" i="1" s="1"/>
  <c r="I35" i="1" a="1"/>
  <c r="I35" i="1" s="1"/>
  <c r="I33" i="1" a="1"/>
  <c r="I33" i="1" s="1"/>
  <c r="I31" i="1" a="1"/>
  <c r="I31" i="1" s="1"/>
  <c r="I29" i="1" a="1"/>
  <c r="I29" i="1" s="1"/>
  <c r="I27" i="1" a="1"/>
  <c r="I27" i="1" s="1"/>
  <c r="I25" i="1" a="1"/>
  <c r="I25" i="1" s="1"/>
  <c r="I23" i="1" a="1"/>
  <c r="I23" i="1" s="1"/>
  <c r="I21" i="1" a="1"/>
  <c r="I21" i="1" s="1"/>
  <c r="I19" i="1" a="1"/>
  <c r="I19" i="1" s="1"/>
  <c r="I17" i="1" a="1"/>
  <c r="I17" i="1" s="1"/>
  <c r="I14" i="1" a="1"/>
  <c r="I14" i="1" s="1"/>
  <c r="I12" i="1" a="1"/>
  <c r="I12" i="1" s="1"/>
  <c r="I10" i="1" a="1"/>
  <c r="I10" i="1" s="1"/>
  <c r="I5" i="1" a="1"/>
  <c r="I5" i="1" s="1"/>
  <c r="I8" i="1" a="1"/>
  <c r="I8" i="1" s="1"/>
  <c r="I6" i="1" a="1"/>
  <c r="I6" i="1" s="1"/>
  <c r="CR55" i="1"/>
  <c r="CW54" i="1" a="1"/>
  <c r="CW54" i="1" s="1"/>
  <c r="CU54" i="1"/>
  <c r="CW49" i="1" a="1"/>
  <c r="CW49" i="1" s="1"/>
  <c r="CU49" i="1"/>
  <c r="CW46" i="1" a="1"/>
  <c r="CW46" i="1" s="1"/>
  <c r="CU46" i="1"/>
  <c r="CW34" i="1" a="1"/>
  <c r="CW34" i="1" s="1"/>
  <c r="CU34" i="1"/>
  <c r="CW31" i="1" a="1"/>
  <c r="CW31" i="1" s="1"/>
  <c r="CU31" i="1"/>
  <c r="CW28" i="1" a="1"/>
  <c r="CW28" i="1" s="1"/>
  <c r="CU28" i="1"/>
  <c r="CW25" i="1" a="1"/>
  <c r="CW25" i="1" s="1"/>
  <c r="CU25" i="1"/>
  <c r="CW22" i="1" a="1"/>
  <c r="CW22" i="1" s="1"/>
  <c r="CU22" i="1"/>
  <c r="CW19" i="1" a="1"/>
  <c r="CW19" i="1" s="1"/>
  <c r="CU19" i="1"/>
  <c r="CW16" i="1" a="1"/>
  <c r="CW16" i="1" s="1"/>
  <c r="CU16" i="1"/>
  <c r="CW13" i="1" a="1"/>
  <c r="CW13" i="1" s="1"/>
  <c r="CU13" i="1"/>
  <c r="CW10" i="1" a="1"/>
  <c r="CW10" i="1" s="1"/>
  <c r="CU10" i="1"/>
  <c r="CW7" i="1" a="1"/>
  <c r="CW7" i="1" s="1"/>
  <c r="CU7" i="1"/>
  <c r="CW53" i="1" a="1"/>
  <c r="CW53" i="1" s="1"/>
  <c r="CU53" i="1"/>
  <c r="CW48" i="1" a="1"/>
  <c r="CW48" i="1" s="1"/>
  <c r="CU48" i="1"/>
  <c r="CW45" i="1" a="1"/>
  <c r="CW45" i="1" s="1"/>
  <c r="CU45" i="1"/>
  <c r="CW33" i="1" a="1"/>
  <c r="CW33" i="1" s="1"/>
  <c r="CU33" i="1"/>
  <c r="CW30" i="1" a="1"/>
  <c r="CW30" i="1" s="1"/>
  <c r="CU30" i="1"/>
  <c r="CW27" i="1" a="1"/>
  <c r="CW27" i="1" s="1"/>
  <c r="CU27" i="1"/>
  <c r="CW24" i="1" a="1"/>
  <c r="CW24" i="1" s="1"/>
  <c r="CU24" i="1"/>
  <c r="CW21" i="1" a="1"/>
  <c r="CW21" i="1" s="1"/>
  <c r="CU21" i="1"/>
  <c r="CW18" i="1" a="1"/>
  <c r="CW18" i="1" s="1"/>
  <c r="CU18" i="1"/>
  <c r="CW15" i="1" a="1"/>
  <c r="CW15" i="1" s="1"/>
  <c r="CU15" i="1"/>
  <c r="CW12" i="1" a="1"/>
  <c r="CW12" i="1" s="1"/>
  <c r="CU12" i="1"/>
  <c r="CW9" i="1" a="1"/>
  <c r="CW9" i="1" s="1"/>
  <c r="CU9" i="1"/>
  <c r="CW6" i="1" a="1"/>
  <c r="CW6" i="1" s="1"/>
  <c r="CU6" i="1"/>
  <c r="CW50" i="1" a="1"/>
  <c r="CW50" i="1" s="1"/>
  <c r="CU50" i="1"/>
  <c r="CW47" i="1" a="1"/>
  <c r="CW47" i="1" s="1"/>
  <c r="CU47" i="1"/>
  <c r="CW44" i="1" a="1"/>
  <c r="CW44" i="1" s="1"/>
  <c r="CU44" i="1"/>
  <c r="CW32" i="1" a="1"/>
  <c r="CW32" i="1" s="1"/>
  <c r="CU32" i="1"/>
  <c r="CW29" i="1" a="1"/>
  <c r="CW29" i="1" s="1"/>
  <c r="CU29" i="1"/>
  <c r="CW26" i="1" a="1"/>
  <c r="CW26" i="1" s="1"/>
  <c r="CU26" i="1"/>
  <c r="CW23" i="1" a="1"/>
  <c r="CW23" i="1" s="1"/>
  <c r="CU23" i="1"/>
  <c r="CW20" i="1" a="1"/>
  <c r="CW20" i="1" s="1"/>
  <c r="CU20" i="1"/>
  <c r="CW17" i="1" a="1"/>
  <c r="CW17" i="1" s="1"/>
  <c r="CU17" i="1"/>
  <c r="CW14" i="1" a="1"/>
  <c r="CW14" i="1" s="1"/>
  <c r="CU14" i="1"/>
  <c r="CW11" i="1" a="1"/>
  <c r="CW11" i="1" s="1"/>
  <c r="CU11" i="1"/>
  <c r="CW8" i="1" a="1"/>
  <c r="CW8" i="1" s="1"/>
  <c r="CU8" i="1"/>
  <c r="CW5" i="1" a="1"/>
  <c r="CW5" i="1" s="1"/>
  <c r="CU5" i="1"/>
  <c r="CE55" i="1"/>
  <c r="CJ54" i="1" a="1"/>
  <c r="CJ54" i="1" s="1"/>
  <c r="CH54" i="1"/>
  <c r="CJ53" i="1" a="1"/>
  <c r="CJ53" i="1" s="1"/>
  <c r="CH53" i="1"/>
  <c r="CJ47" i="1" a="1"/>
  <c r="CJ47" i="1" s="1"/>
  <c r="CH47" i="1"/>
  <c r="CJ37" i="1" a="1"/>
  <c r="CJ37" i="1" s="1"/>
  <c r="CH37" i="1"/>
  <c r="CJ34" i="1" a="1"/>
  <c r="CJ34" i="1" s="1"/>
  <c r="CH34" i="1"/>
  <c r="CJ31" i="1" a="1"/>
  <c r="CJ31" i="1" s="1"/>
  <c r="CH31" i="1"/>
  <c r="CJ28" i="1" a="1"/>
  <c r="CJ28" i="1" s="1"/>
  <c r="CH28" i="1"/>
  <c r="CJ25" i="1" a="1"/>
  <c r="CJ25" i="1" s="1"/>
  <c r="CH25" i="1"/>
  <c r="CJ22" i="1" a="1"/>
  <c r="CJ22" i="1" s="1"/>
  <c r="CH22" i="1"/>
  <c r="CJ19" i="1" a="1"/>
  <c r="CJ19" i="1" s="1"/>
  <c r="CH19" i="1"/>
  <c r="CJ16" i="1" a="1"/>
  <c r="CJ16" i="1" s="1"/>
  <c r="CH16" i="1"/>
  <c r="CJ13" i="1" a="1"/>
  <c r="CJ13" i="1" s="1"/>
  <c r="CH13" i="1"/>
  <c r="CJ10" i="1" a="1"/>
  <c r="CJ10" i="1" s="1"/>
  <c r="CH10" i="1"/>
  <c r="CJ7" i="1" a="1"/>
  <c r="CJ7" i="1" s="1"/>
  <c r="CH7" i="1"/>
  <c r="CJ52" i="1" a="1"/>
  <c r="CJ52" i="1" s="1"/>
  <c r="CH52" i="1"/>
  <c r="CJ46" i="1" a="1"/>
  <c r="CJ46" i="1" s="1"/>
  <c r="CH46" i="1"/>
  <c r="CJ36" i="1" a="1"/>
  <c r="CJ36" i="1" s="1"/>
  <c r="CH36" i="1"/>
  <c r="CJ33" i="1" a="1"/>
  <c r="CJ33" i="1" s="1"/>
  <c r="CH33" i="1"/>
  <c r="CJ30" i="1" a="1"/>
  <c r="CJ30" i="1" s="1"/>
  <c r="CH30" i="1"/>
  <c r="CJ27" i="1" a="1"/>
  <c r="CJ27" i="1" s="1"/>
  <c r="CH27" i="1"/>
  <c r="CJ24" i="1" a="1"/>
  <c r="CJ24" i="1" s="1"/>
  <c r="CH24" i="1"/>
  <c r="CJ21" i="1" a="1"/>
  <c r="CJ21" i="1" s="1"/>
  <c r="CH21" i="1"/>
  <c r="CJ18" i="1" a="1"/>
  <c r="CJ18" i="1" s="1"/>
  <c r="CH18" i="1"/>
  <c r="CJ15" i="1" a="1"/>
  <c r="CJ15" i="1" s="1"/>
  <c r="CH15" i="1"/>
  <c r="CJ12" i="1" a="1"/>
  <c r="CJ12" i="1" s="1"/>
  <c r="CH12" i="1"/>
  <c r="CJ9" i="1" a="1"/>
  <c r="CJ9" i="1" s="1"/>
  <c r="CH9" i="1"/>
  <c r="CJ6" i="1" a="1"/>
  <c r="CJ6" i="1" s="1"/>
  <c r="CH6" i="1"/>
  <c r="CJ48" i="1" a="1"/>
  <c r="CJ48" i="1" s="1"/>
  <c r="CH48" i="1"/>
  <c r="CJ45" i="1" a="1"/>
  <c r="CJ45" i="1" s="1"/>
  <c r="CH45" i="1"/>
  <c r="CJ35" i="1" a="1"/>
  <c r="CJ35" i="1" s="1"/>
  <c r="CH35" i="1"/>
  <c r="CJ32" i="1" a="1"/>
  <c r="CJ32" i="1" s="1"/>
  <c r="CH32" i="1"/>
  <c r="CJ29" i="1" a="1"/>
  <c r="CJ29" i="1" s="1"/>
  <c r="CH29" i="1"/>
  <c r="CJ26" i="1" a="1"/>
  <c r="CJ26" i="1" s="1"/>
  <c r="CH26" i="1"/>
  <c r="CJ23" i="1" a="1"/>
  <c r="CJ23" i="1" s="1"/>
  <c r="CH23" i="1"/>
  <c r="CJ20" i="1" a="1"/>
  <c r="CJ20" i="1" s="1"/>
  <c r="CH20" i="1"/>
  <c r="CJ17" i="1" a="1"/>
  <c r="CJ17" i="1" s="1"/>
  <c r="CH17" i="1"/>
  <c r="CJ14" i="1" a="1"/>
  <c r="CJ14" i="1" s="1"/>
  <c r="CH14" i="1"/>
  <c r="CJ11" i="1" a="1"/>
  <c r="CJ11" i="1" s="1"/>
  <c r="CH11" i="1"/>
  <c r="CJ8" i="1" a="1"/>
  <c r="CJ8" i="1" s="1"/>
  <c r="CH8" i="1"/>
  <c r="CJ5" i="1" a="1"/>
  <c r="CJ5" i="1" s="1"/>
  <c r="CH5" i="1"/>
  <c r="BW43" i="1" a="1"/>
  <c r="BW43" i="1" s="1"/>
  <c r="BU43" i="1"/>
  <c r="BW40" i="1" a="1"/>
  <c r="BW40" i="1" s="1"/>
  <c r="BU40" i="1"/>
  <c r="BW37" i="1" a="1"/>
  <c r="BW37" i="1" s="1"/>
  <c r="BU37" i="1"/>
  <c r="BW34" i="1" a="1"/>
  <c r="BW34" i="1" s="1"/>
  <c r="BU34" i="1"/>
  <c r="BW31" i="1" a="1"/>
  <c r="BW31" i="1" s="1"/>
  <c r="BU31" i="1"/>
  <c r="BW28" i="1" a="1"/>
  <c r="BW28" i="1" s="1"/>
  <c r="BU28" i="1"/>
  <c r="BW25" i="1" a="1"/>
  <c r="BW25" i="1" s="1"/>
  <c r="BU25" i="1"/>
  <c r="BW22" i="1" a="1"/>
  <c r="BW22" i="1" s="1"/>
  <c r="BU22" i="1"/>
  <c r="BW19" i="1" a="1"/>
  <c r="BW19" i="1" s="1"/>
  <c r="BU19" i="1"/>
  <c r="BW16" i="1" a="1"/>
  <c r="BW16" i="1" s="1"/>
  <c r="BU16" i="1"/>
  <c r="BW13" i="1" a="1"/>
  <c r="BW13" i="1" s="1"/>
  <c r="BU13" i="1"/>
  <c r="BW10" i="1" a="1"/>
  <c r="BW10" i="1" s="1"/>
  <c r="BU10" i="1"/>
  <c r="BW7" i="1" a="1"/>
  <c r="BW7" i="1" s="1"/>
  <c r="BU7" i="1"/>
  <c r="BW42" i="1" a="1"/>
  <c r="BW42" i="1" s="1"/>
  <c r="BU42" i="1"/>
  <c r="BW39" i="1" a="1"/>
  <c r="BW39" i="1" s="1"/>
  <c r="BU39" i="1"/>
  <c r="BW36" i="1" a="1"/>
  <c r="BW36" i="1" s="1"/>
  <c r="BU36" i="1"/>
  <c r="BW33" i="1" a="1"/>
  <c r="BW33" i="1" s="1"/>
  <c r="BU33" i="1"/>
  <c r="BW30" i="1" a="1"/>
  <c r="BW30" i="1" s="1"/>
  <c r="BU30" i="1"/>
  <c r="BW27" i="1" a="1"/>
  <c r="BW27" i="1" s="1"/>
  <c r="BU27" i="1"/>
  <c r="BW24" i="1" a="1"/>
  <c r="BW24" i="1" s="1"/>
  <c r="BU24" i="1"/>
  <c r="BW21" i="1" a="1"/>
  <c r="BW21" i="1" s="1"/>
  <c r="BU21" i="1"/>
  <c r="BW18" i="1" a="1"/>
  <c r="BW18" i="1" s="1"/>
  <c r="BU18" i="1"/>
  <c r="BW15" i="1" a="1"/>
  <c r="BW15" i="1" s="1"/>
  <c r="BU15" i="1"/>
  <c r="BW12" i="1" a="1"/>
  <c r="BW12" i="1" s="1"/>
  <c r="BU12" i="1"/>
  <c r="BW9" i="1" a="1"/>
  <c r="BW9" i="1" s="1"/>
  <c r="BU9" i="1"/>
  <c r="BW6" i="1" a="1"/>
  <c r="BW6" i="1" s="1"/>
  <c r="BU6" i="1"/>
  <c r="BW41" i="1" a="1"/>
  <c r="BW41" i="1" s="1"/>
  <c r="BU41" i="1"/>
  <c r="BW38" i="1" a="1"/>
  <c r="BW38" i="1" s="1"/>
  <c r="BU38" i="1"/>
  <c r="BW35" i="1" a="1"/>
  <c r="BW35" i="1" s="1"/>
  <c r="BU35" i="1"/>
  <c r="BW32" i="1" a="1"/>
  <c r="BW32" i="1" s="1"/>
  <c r="BU32" i="1"/>
  <c r="BW29" i="1" a="1"/>
  <c r="BW29" i="1" s="1"/>
  <c r="BU29" i="1"/>
  <c r="BW26" i="1" a="1"/>
  <c r="BW26" i="1" s="1"/>
  <c r="BU26" i="1"/>
  <c r="BW23" i="1" a="1"/>
  <c r="BW23" i="1" s="1"/>
  <c r="BU23" i="1"/>
  <c r="BW20" i="1" a="1"/>
  <c r="BW20" i="1" s="1"/>
  <c r="BU20" i="1"/>
  <c r="BW17" i="1" a="1"/>
  <c r="BW17" i="1" s="1"/>
  <c r="BU17" i="1"/>
  <c r="BW14" i="1" a="1"/>
  <c r="BW14" i="1" s="1"/>
  <c r="BU14" i="1"/>
  <c r="BW11" i="1" a="1"/>
  <c r="BW11" i="1" s="1"/>
  <c r="BU11" i="1"/>
  <c r="BW8" i="1" a="1"/>
  <c r="BW8" i="1" s="1"/>
  <c r="BU8" i="1"/>
  <c r="BW5" i="1" a="1"/>
  <c r="BW5" i="1" s="1"/>
  <c r="BU5" i="1"/>
  <c r="AR55" i="1"/>
  <c r="AW54" i="1" a="1"/>
  <c r="AW54" i="1" s="1"/>
  <c r="AU54" i="1"/>
  <c r="AW51" i="1" a="1"/>
  <c r="AW51" i="1" s="1"/>
  <c r="AU51" i="1"/>
  <c r="AW47" i="1" a="1"/>
  <c r="AW47" i="1" s="1"/>
  <c r="AU47" i="1"/>
  <c r="AW35" i="1" a="1"/>
  <c r="AW35" i="1" s="1"/>
  <c r="AU35" i="1"/>
  <c r="AW22" i="1" a="1"/>
  <c r="AW22" i="1" s="1"/>
  <c r="AU22" i="1"/>
  <c r="AW19" i="1" a="1"/>
  <c r="AW19" i="1" s="1"/>
  <c r="AU19" i="1"/>
  <c r="AW16" i="1" a="1"/>
  <c r="AW16" i="1" s="1"/>
  <c r="AU16" i="1"/>
  <c r="AW13" i="1" a="1"/>
  <c r="AW13" i="1" s="1"/>
  <c r="AU13" i="1"/>
  <c r="AW10" i="1" a="1"/>
  <c r="AW10" i="1" s="1"/>
  <c r="AU10" i="1"/>
  <c r="AW7" i="1" a="1"/>
  <c r="AW7" i="1" s="1"/>
  <c r="AU7" i="1"/>
  <c r="AW53" i="1" a="1"/>
  <c r="AW53" i="1" s="1"/>
  <c r="AU53" i="1"/>
  <c r="AW49" i="1" a="1"/>
  <c r="AW49" i="1" s="1"/>
  <c r="AU49" i="1"/>
  <c r="AW46" i="1" a="1"/>
  <c r="AW46" i="1" s="1"/>
  <c r="AU46" i="1"/>
  <c r="AW24" i="1" a="1"/>
  <c r="AW24" i="1" s="1"/>
  <c r="AU24" i="1"/>
  <c r="AW21" i="1" a="1"/>
  <c r="AW21" i="1" s="1"/>
  <c r="AU21" i="1"/>
  <c r="AW18" i="1" a="1"/>
  <c r="AW18" i="1" s="1"/>
  <c r="AU18" i="1"/>
  <c r="AW15" i="1" a="1"/>
  <c r="AW15" i="1" s="1"/>
  <c r="AU15" i="1"/>
  <c r="AW12" i="1" a="1"/>
  <c r="AW12" i="1" s="1"/>
  <c r="AU12" i="1"/>
  <c r="AW9" i="1" a="1"/>
  <c r="AW9" i="1" s="1"/>
  <c r="AU9" i="1"/>
  <c r="AW6" i="1" a="1"/>
  <c r="AW6" i="1" s="1"/>
  <c r="AU6" i="1"/>
  <c r="AW52" i="1" a="1"/>
  <c r="AW52" i="1" s="1"/>
  <c r="AU52" i="1"/>
  <c r="AW48" i="1" a="1"/>
  <c r="AW48" i="1" s="1"/>
  <c r="AU48" i="1"/>
  <c r="AW45" i="1" a="1"/>
  <c r="AW45" i="1" s="1"/>
  <c r="AU45" i="1"/>
  <c r="AW23" i="1" a="1"/>
  <c r="AW23" i="1" s="1"/>
  <c r="AU23" i="1"/>
  <c r="AW20" i="1" a="1"/>
  <c r="AW20" i="1" s="1"/>
  <c r="AU20" i="1"/>
  <c r="AW17" i="1" a="1"/>
  <c r="AW17" i="1" s="1"/>
  <c r="AU17" i="1"/>
  <c r="AW14" i="1" a="1"/>
  <c r="AW14" i="1" s="1"/>
  <c r="AU14" i="1"/>
  <c r="AW11" i="1" a="1"/>
  <c r="AW11" i="1" s="1"/>
  <c r="AU11" i="1"/>
  <c r="AW8" i="1" a="1"/>
  <c r="AW8" i="1" s="1"/>
  <c r="AU8" i="1"/>
  <c r="AW5" i="1" a="1"/>
  <c r="AW5" i="1" s="1"/>
  <c r="AU5" i="1"/>
  <c r="R55" i="1"/>
  <c r="W54" i="1" a="1"/>
  <c r="W54" i="1" s="1"/>
  <c r="U54" i="1"/>
  <c r="W53" i="1" a="1"/>
  <c r="W53" i="1" s="1"/>
  <c r="U53" i="1"/>
  <c r="W52" i="1" a="1"/>
  <c r="W52" i="1" s="1"/>
  <c r="U52" i="1"/>
  <c r="W51" i="1" a="1"/>
  <c r="W51" i="1" s="1"/>
  <c r="U51" i="1"/>
  <c r="W50" i="1" a="1"/>
  <c r="W50" i="1" s="1"/>
  <c r="U50" i="1"/>
  <c r="W49" i="1" a="1"/>
  <c r="W49" i="1" s="1"/>
  <c r="U49" i="1"/>
  <c r="W48" i="1" a="1"/>
  <c r="W48" i="1" s="1"/>
  <c r="U48" i="1"/>
  <c r="W47" i="1" a="1"/>
  <c r="W47" i="1" s="1"/>
  <c r="U47" i="1"/>
  <c r="W46" i="1" a="1"/>
  <c r="W46" i="1" s="1"/>
  <c r="U46" i="1"/>
  <c r="W45" i="1" a="1"/>
  <c r="W45" i="1" s="1"/>
  <c r="U45" i="1"/>
  <c r="W34" i="1" a="1"/>
  <c r="W34" i="1" s="1"/>
  <c r="U34" i="1"/>
  <c r="W33" i="1" a="1"/>
  <c r="W33" i="1" s="1"/>
  <c r="U33" i="1"/>
  <c r="W32" i="1" a="1"/>
  <c r="W32" i="1" s="1"/>
  <c r="U32" i="1"/>
  <c r="W31" i="1" a="1"/>
  <c r="W31" i="1" s="1"/>
  <c r="U31" i="1"/>
  <c r="W30" i="1" a="1"/>
  <c r="W30" i="1" s="1"/>
  <c r="U30" i="1"/>
  <c r="W29" i="1" a="1"/>
  <c r="W29" i="1" s="1"/>
  <c r="U29" i="1"/>
  <c r="W28" i="1" a="1"/>
  <c r="W28" i="1" s="1"/>
  <c r="U28" i="1"/>
  <c r="W27" i="1" a="1"/>
  <c r="W27" i="1" s="1"/>
  <c r="U27" i="1"/>
  <c r="W26" i="1" a="1"/>
  <c r="W26" i="1" s="1"/>
  <c r="U26" i="1"/>
  <c r="W25" i="1" a="1"/>
  <c r="W25" i="1" s="1"/>
  <c r="U25" i="1"/>
  <c r="W24" i="1" a="1"/>
  <c r="W24" i="1" s="1"/>
  <c r="U24" i="1"/>
  <c r="W23" i="1" a="1"/>
  <c r="W23" i="1" s="1"/>
  <c r="U23" i="1"/>
  <c r="W22" i="1" a="1"/>
  <c r="W22" i="1" s="1"/>
  <c r="U22" i="1"/>
  <c r="W21" i="1" a="1"/>
  <c r="W21" i="1" s="1"/>
  <c r="U21" i="1"/>
  <c r="W20" i="1" a="1"/>
  <c r="W20" i="1" s="1"/>
  <c r="U20" i="1"/>
  <c r="W19" i="1" a="1"/>
  <c r="W19" i="1" s="1"/>
  <c r="U19" i="1"/>
  <c r="W18" i="1" a="1"/>
  <c r="W18" i="1" s="1"/>
  <c r="U18" i="1"/>
  <c r="W17" i="1" a="1"/>
  <c r="W17" i="1" s="1"/>
  <c r="U17" i="1"/>
  <c r="W16" i="1" a="1"/>
  <c r="W16" i="1" s="1"/>
  <c r="U16" i="1"/>
  <c r="W15" i="1" a="1"/>
  <c r="W15" i="1" s="1"/>
  <c r="U15" i="1"/>
  <c r="W14" i="1" a="1"/>
  <c r="W14" i="1" s="1"/>
  <c r="U14" i="1"/>
  <c r="W13" i="1" a="1"/>
  <c r="W13" i="1" s="1"/>
  <c r="U13" i="1"/>
  <c r="W12" i="1" a="1"/>
  <c r="W12" i="1" s="1"/>
  <c r="U12" i="1"/>
  <c r="W11" i="1" a="1"/>
  <c r="W11" i="1" s="1"/>
  <c r="U11" i="1"/>
  <c r="W10" i="1" a="1"/>
  <c r="W10" i="1" s="1"/>
  <c r="U10" i="1"/>
  <c r="W9" i="1" a="1"/>
  <c r="W9" i="1" s="1"/>
  <c r="U9" i="1"/>
  <c r="W8" i="1" a="1"/>
  <c r="W8" i="1" s="1"/>
  <c r="U8" i="1"/>
  <c r="W7" i="1" a="1"/>
  <c r="W7" i="1" s="1"/>
  <c r="U7" i="1"/>
  <c r="W6" i="1" a="1"/>
  <c r="W6" i="1" s="1"/>
  <c r="U6" i="1"/>
  <c r="W5" i="1" a="1"/>
  <c r="W5" i="1" s="1"/>
  <c r="U5" i="1"/>
  <c r="BE55" i="1"/>
  <c r="BJ54" i="1" a="1"/>
  <c r="BJ54" i="1" s="1"/>
  <c r="BH54" i="1"/>
  <c r="BJ53" i="1" a="1"/>
  <c r="BJ53" i="1" s="1"/>
  <c r="BH53" i="1"/>
  <c r="BJ52" i="1" a="1"/>
  <c r="BJ52" i="1" s="1"/>
  <c r="BH52" i="1"/>
  <c r="BJ51" i="1" a="1"/>
  <c r="BJ51" i="1" s="1"/>
  <c r="BH51" i="1"/>
  <c r="BJ50" i="1" a="1"/>
  <c r="BJ50" i="1" s="1"/>
  <c r="BH50" i="1"/>
  <c r="BJ49" i="1" a="1"/>
  <c r="BJ49" i="1" s="1"/>
  <c r="BH49" i="1"/>
  <c r="BJ48" i="1" a="1"/>
  <c r="BJ48" i="1" s="1"/>
  <c r="BH48" i="1"/>
  <c r="BJ47" i="1" a="1"/>
  <c r="BJ47" i="1" s="1"/>
  <c r="BH47" i="1"/>
  <c r="BJ46" i="1" a="1"/>
  <c r="BJ46" i="1" s="1"/>
  <c r="BH46" i="1"/>
  <c r="BJ45" i="1" a="1"/>
  <c r="BJ45" i="1" s="1"/>
  <c r="BH45" i="1"/>
  <c r="BJ33" i="1" a="1"/>
  <c r="BJ33" i="1" s="1"/>
  <c r="BH33" i="1"/>
  <c r="BJ32" i="1" a="1"/>
  <c r="BJ32" i="1" s="1"/>
  <c r="BH32" i="1"/>
  <c r="BJ31" i="1" a="1"/>
  <c r="BJ31" i="1" s="1"/>
  <c r="BH31" i="1"/>
  <c r="BJ30" i="1" a="1"/>
  <c r="BJ30" i="1" s="1"/>
  <c r="BH30" i="1"/>
  <c r="BJ29" i="1" a="1"/>
  <c r="BJ29" i="1" s="1"/>
  <c r="BH29" i="1"/>
  <c r="BJ28" i="1" a="1"/>
  <c r="BJ28" i="1" s="1"/>
  <c r="BH28" i="1"/>
  <c r="BJ27" i="1" a="1"/>
  <c r="BJ27" i="1" s="1"/>
  <c r="BH27" i="1"/>
  <c r="BJ26" i="1" a="1"/>
  <c r="BJ26" i="1" s="1"/>
  <c r="BH26" i="1"/>
  <c r="BJ25" i="1" a="1"/>
  <c r="BJ25" i="1" s="1"/>
  <c r="BH25" i="1"/>
  <c r="BJ24" i="1" a="1"/>
  <c r="BJ24" i="1" s="1"/>
  <c r="BH24" i="1"/>
  <c r="BJ23" i="1" a="1"/>
  <c r="BJ23" i="1" s="1"/>
  <c r="BH23" i="1"/>
  <c r="BJ22" i="1" a="1"/>
  <c r="BJ22" i="1" s="1"/>
  <c r="BH22" i="1"/>
  <c r="BJ21" i="1" a="1"/>
  <c r="BJ21" i="1" s="1"/>
  <c r="BH21" i="1"/>
  <c r="BJ20" i="1" a="1"/>
  <c r="BJ20" i="1" s="1"/>
  <c r="BH20" i="1"/>
  <c r="BJ19" i="1" a="1"/>
  <c r="BJ19" i="1" s="1"/>
  <c r="BH19" i="1"/>
  <c r="BJ18" i="1" a="1"/>
  <c r="BJ18" i="1" s="1"/>
  <c r="BH18" i="1"/>
  <c r="BJ17" i="1" a="1"/>
  <c r="BJ17" i="1" s="1"/>
  <c r="BH17" i="1"/>
  <c r="BJ16" i="1" a="1"/>
  <c r="BJ16" i="1" s="1"/>
  <c r="BH16" i="1"/>
  <c r="BJ15" i="1" a="1"/>
  <c r="BJ15" i="1" s="1"/>
  <c r="BH15" i="1"/>
  <c r="BJ14" i="1" a="1"/>
  <c r="BJ14" i="1" s="1"/>
  <c r="BH14" i="1"/>
  <c r="BJ13" i="1" a="1"/>
  <c r="BJ13" i="1" s="1"/>
  <c r="BH13" i="1"/>
  <c r="BJ12" i="1" a="1"/>
  <c r="BJ12" i="1" s="1"/>
  <c r="BH12" i="1"/>
  <c r="BJ11" i="1" a="1"/>
  <c r="BJ11" i="1" s="1"/>
  <c r="BH11" i="1"/>
  <c r="BJ10" i="1" a="1"/>
  <c r="BJ10" i="1" s="1"/>
  <c r="BH10" i="1"/>
  <c r="BJ9" i="1" a="1"/>
  <c r="BJ9" i="1" s="1"/>
  <c r="BH9" i="1"/>
  <c r="BJ8" i="1" a="1"/>
  <c r="BJ8" i="1" s="1"/>
  <c r="BH8" i="1"/>
  <c r="BJ7" i="1" a="1"/>
  <c r="BJ7" i="1" s="1"/>
  <c r="BH7" i="1"/>
  <c r="BJ6" i="1" a="1"/>
  <c r="BJ6" i="1" s="1"/>
  <c r="BH6" i="1"/>
  <c r="BJ5" i="1" a="1"/>
  <c r="BJ5" i="1" s="1"/>
  <c r="BH5" i="1"/>
  <c r="AE55" i="1"/>
  <c r="AJ54" i="1" a="1"/>
  <c r="AJ54" i="1" s="1"/>
  <c r="AH54" i="1"/>
  <c r="AJ53" i="1" a="1"/>
  <c r="AJ53" i="1" s="1"/>
  <c r="AH53" i="1"/>
  <c r="AJ52" i="1" a="1"/>
  <c r="AJ52" i="1" s="1"/>
  <c r="AH52" i="1"/>
  <c r="AJ51" i="1" a="1"/>
  <c r="AJ51" i="1" s="1"/>
  <c r="AH51" i="1"/>
  <c r="AJ50" i="1" a="1"/>
  <c r="AJ50" i="1" s="1"/>
  <c r="AH50" i="1"/>
  <c r="AJ49" i="1" a="1"/>
  <c r="AJ49" i="1" s="1"/>
  <c r="AH49" i="1"/>
  <c r="AJ48" i="1" a="1"/>
  <c r="AJ48" i="1" s="1"/>
  <c r="AH48" i="1"/>
  <c r="AJ47" i="1" a="1"/>
  <c r="AJ47" i="1" s="1"/>
  <c r="AH47" i="1"/>
  <c r="AJ46" i="1" a="1"/>
  <c r="AJ46" i="1" s="1"/>
  <c r="AH46" i="1"/>
  <c r="AJ45" i="1" a="1"/>
  <c r="AJ45" i="1" s="1"/>
  <c r="AH45" i="1"/>
  <c r="AJ33" i="1" a="1"/>
  <c r="AJ33" i="1" s="1"/>
  <c r="AH33" i="1"/>
  <c r="AJ32" i="1" a="1"/>
  <c r="AJ32" i="1" s="1"/>
  <c r="AH32" i="1"/>
  <c r="AJ31" i="1" a="1"/>
  <c r="AJ31" i="1" s="1"/>
  <c r="AH31" i="1"/>
  <c r="AJ30" i="1" a="1"/>
  <c r="AJ30" i="1" s="1"/>
  <c r="AH30" i="1"/>
  <c r="AJ29" i="1" a="1"/>
  <c r="AJ29" i="1" s="1"/>
  <c r="AH29" i="1"/>
  <c r="AJ28" i="1" a="1"/>
  <c r="AJ28" i="1" s="1"/>
  <c r="AH28" i="1"/>
  <c r="AJ27" i="1" a="1"/>
  <c r="AJ27" i="1" s="1"/>
  <c r="AH27" i="1"/>
  <c r="AJ26" i="1" a="1"/>
  <c r="AJ26" i="1" s="1"/>
  <c r="AH26" i="1"/>
  <c r="AJ25" i="1" a="1"/>
  <c r="AJ25" i="1" s="1"/>
  <c r="AH25" i="1"/>
  <c r="AJ24" i="1" a="1"/>
  <c r="AJ24" i="1" s="1"/>
  <c r="AH24" i="1"/>
  <c r="AJ23" i="1" a="1"/>
  <c r="AJ23" i="1" s="1"/>
  <c r="AH23" i="1"/>
  <c r="AJ22" i="1" a="1"/>
  <c r="AJ22" i="1" s="1"/>
  <c r="AH22" i="1"/>
  <c r="AJ21" i="1" a="1"/>
  <c r="AJ21" i="1" s="1"/>
  <c r="AH21" i="1"/>
  <c r="AJ20" i="1" a="1"/>
  <c r="AJ20" i="1" s="1"/>
  <c r="AH20" i="1"/>
  <c r="AJ19" i="1" a="1"/>
  <c r="AJ19" i="1" s="1"/>
  <c r="AH19" i="1"/>
  <c r="AJ18" i="1" a="1"/>
  <c r="AJ18" i="1" s="1"/>
  <c r="AH18" i="1"/>
  <c r="AJ17" i="1" a="1"/>
  <c r="AJ17" i="1" s="1"/>
  <c r="AH17" i="1"/>
  <c r="AJ16" i="1" a="1"/>
  <c r="AJ16" i="1" s="1"/>
  <c r="AH16" i="1"/>
  <c r="AJ15" i="1" a="1"/>
  <c r="AJ15" i="1" s="1"/>
  <c r="AH15" i="1"/>
  <c r="AJ14" i="1" a="1"/>
  <c r="AJ14" i="1" s="1"/>
  <c r="AH14" i="1"/>
  <c r="AJ13" i="1" a="1"/>
  <c r="AJ13" i="1" s="1"/>
  <c r="AH13" i="1"/>
  <c r="AJ12" i="1" a="1"/>
  <c r="AJ12" i="1" s="1"/>
  <c r="AH12" i="1"/>
  <c r="AJ11" i="1" a="1"/>
  <c r="AJ11" i="1" s="1"/>
  <c r="AH11" i="1"/>
  <c r="AJ10" i="1" a="1"/>
  <c r="AJ10" i="1" s="1"/>
  <c r="AH10" i="1"/>
  <c r="AJ9" i="1" a="1"/>
  <c r="AJ9" i="1" s="1"/>
  <c r="AH9" i="1"/>
  <c r="AJ8" i="1" a="1"/>
  <c r="AJ8" i="1" s="1"/>
  <c r="AH8" i="1"/>
  <c r="AJ7" i="1" a="1"/>
  <c r="AJ7" i="1" s="1"/>
  <c r="AH7" i="1"/>
  <c r="AJ6" i="1" a="1"/>
  <c r="AJ6" i="1" s="1"/>
  <c r="AH6" i="1"/>
  <c r="AJ5" i="1" a="1"/>
  <c r="AJ5" i="1" s="1"/>
  <c r="AH5" i="1"/>
  <c r="DK7" i="1" l="1"/>
  <c r="DK35" i="1"/>
  <c r="DL35" i="1" s="1"/>
  <c r="DK24" i="1"/>
  <c r="DK8" i="1"/>
  <c r="DL8" i="1" s="1"/>
  <c r="DK29" i="1"/>
  <c r="DK13" i="1"/>
  <c r="DK34" i="1"/>
  <c r="DK18" i="1"/>
  <c r="DK11" i="1"/>
  <c r="DL11" i="1" s="1"/>
  <c r="DK23" i="1"/>
  <c r="DK15" i="1"/>
  <c r="DK36" i="1"/>
  <c r="DK20" i="1"/>
  <c r="DL20" i="1" s="1"/>
  <c r="DK41" i="1"/>
  <c r="DL41" i="1" s="1"/>
  <c r="DK25" i="1"/>
  <c r="DK9" i="1"/>
  <c r="DK30" i="1"/>
  <c r="DK14" i="1"/>
  <c r="DK32" i="1"/>
  <c r="DL34" i="1" s="1"/>
  <c r="DK16" i="1"/>
  <c r="DK37" i="1"/>
  <c r="DK21" i="1"/>
  <c r="DL21" i="1"/>
  <c r="DK5" i="1"/>
  <c r="DL5" i="1" s="1"/>
  <c r="DK26" i="1"/>
  <c r="DL26" i="1" s="1"/>
  <c r="DK10" i="1"/>
  <c r="DL10" i="1"/>
  <c r="DK19" i="1"/>
  <c r="DK31" i="1"/>
  <c r="DK28" i="1"/>
  <c r="DK12" i="1"/>
  <c r="DK33" i="1"/>
  <c r="DL33" i="1" s="1"/>
  <c r="DK17" i="1"/>
  <c r="DL19" i="1" s="1"/>
  <c r="DL17" i="1"/>
  <c r="DK38" i="1"/>
  <c r="DL40" i="1" s="1"/>
  <c r="DK22" i="1"/>
  <c r="DL30" i="1" s="1"/>
  <c r="DK6" i="1"/>
  <c r="DL6" i="1"/>
  <c r="CV52" i="1" a="1"/>
  <c r="CV52" i="1" s="1"/>
  <c r="CV51" i="1" a="1"/>
  <c r="CV51" i="1" s="1"/>
  <c r="CV40" i="1" a="1"/>
  <c r="CV40" i="1" s="1"/>
  <c r="CV35" i="1" a="1"/>
  <c r="CV35" i="1" s="1"/>
  <c r="CV37" i="1" a="1"/>
  <c r="CV37" i="1" s="1"/>
  <c r="CV39" i="1" a="1"/>
  <c r="CV39" i="1" s="1"/>
  <c r="CV41" i="1" a="1"/>
  <c r="CV41" i="1" s="1"/>
  <c r="CV43" i="1" a="1"/>
  <c r="CV43" i="1" s="1"/>
  <c r="CV38" i="1" a="1"/>
  <c r="CV38" i="1" s="1"/>
  <c r="CV42" i="1" a="1"/>
  <c r="CV42" i="1" s="1"/>
  <c r="CV36" i="1" a="1"/>
  <c r="CV36" i="1" s="1"/>
  <c r="CI49" i="1" a="1"/>
  <c r="CI49" i="1" s="1"/>
  <c r="CI50" i="1" a="1"/>
  <c r="CI50" i="1" s="1"/>
  <c r="CI51" i="1" a="1"/>
  <c r="CI51" i="1" s="1"/>
  <c r="CI38" i="1" a="1"/>
  <c r="CI38" i="1" s="1"/>
  <c r="CI39" i="1" a="1"/>
  <c r="CI39" i="1" s="1"/>
  <c r="CI41" i="1" a="1"/>
  <c r="CI41" i="1" s="1"/>
  <c r="CI43" i="1" a="1"/>
  <c r="CI43" i="1" s="1"/>
  <c r="CI40" i="1" a="1"/>
  <c r="CI40" i="1" s="1"/>
  <c r="CI44" i="1" a="1"/>
  <c r="CI44" i="1" s="1"/>
  <c r="CI42" i="1" a="1"/>
  <c r="CI42" i="1" s="1"/>
  <c r="BI44" i="1" a="1"/>
  <c r="BI44" i="1" s="1"/>
  <c r="BI35" i="1" a="1"/>
  <c r="BI35" i="1" s="1"/>
  <c r="BI37" i="1" a="1"/>
  <c r="BI37" i="1" s="1"/>
  <c r="BI39" i="1" a="1"/>
  <c r="BI39" i="1" s="1"/>
  <c r="BI41" i="1" a="1"/>
  <c r="BI41" i="1" s="1"/>
  <c r="BI43" i="1" a="1"/>
  <c r="BI43" i="1" s="1"/>
  <c r="BI42" i="1" a="1"/>
  <c r="BI42" i="1" s="1"/>
  <c r="BI34" i="1" a="1"/>
  <c r="BI34" i="1" s="1"/>
  <c r="BI36" i="1" a="1"/>
  <c r="BI36" i="1" s="1"/>
  <c r="BI38" i="1" a="1"/>
  <c r="BI38" i="1" s="1"/>
  <c r="BI40" i="1" a="1"/>
  <c r="BI40" i="1" s="1"/>
  <c r="AV50" i="1" a="1"/>
  <c r="AV50" i="1" s="1"/>
  <c r="AV44" i="1" a="1"/>
  <c r="AV44" i="1" s="1"/>
  <c r="AV36" i="1" a="1"/>
  <c r="AV36" i="1" s="1"/>
  <c r="AV38" i="1" a="1"/>
  <c r="AV38" i="1" s="1"/>
  <c r="AV40" i="1" a="1"/>
  <c r="AV40" i="1" s="1"/>
  <c r="AV42" i="1" a="1"/>
  <c r="AV42" i="1" s="1"/>
  <c r="AV37" i="1" a="1"/>
  <c r="AV37" i="1" s="1"/>
  <c r="AV39" i="1" a="1"/>
  <c r="AV39" i="1" s="1"/>
  <c r="AV41" i="1" a="1"/>
  <c r="AV41" i="1" s="1"/>
  <c r="AV43" i="1" a="1"/>
  <c r="AV43" i="1" s="1"/>
  <c r="AV26" i="1" a="1"/>
  <c r="AV26" i="1" s="1"/>
  <c r="AV28" i="1" a="1"/>
  <c r="AV28" i="1" s="1"/>
  <c r="AV30" i="1" a="1"/>
  <c r="AV30" i="1" s="1"/>
  <c r="AV32" i="1" a="1"/>
  <c r="AV32" i="1" s="1"/>
  <c r="AV34" i="1" a="1"/>
  <c r="AV34" i="1" s="1"/>
  <c r="AV25" i="1" a="1"/>
  <c r="AV25" i="1" s="1"/>
  <c r="AV27" i="1" a="1"/>
  <c r="AV27" i="1" s="1"/>
  <c r="AV29" i="1" a="1"/>
  <c r="AV29" i="1" s="1"/>
  <c r="AV31" i="1" a="1"/>
  <c r="AV31" i="1" s="1"/>
  <c r="AV33" i="1" a="1"/>
  <c r="AV33" i="1" s="1"/>
  <c r="AI43" i="1" a="1"/>
  <c r="AI43" i="1" s="1"/>
  <c r="AI34" i="1" a="1"/>
  <c r="AI34" i="1" s="1"/>
  <c r="AI38" i="1" a="1"/>
  <c r="AI38" i="1" s="1"/>
  <c r="AI42" i="1" a="1"/>
  <c r="AI42" i="1" s="1"/>
  <c r="AI35" i="1" a="1"/>
  <c r="AI35" i="1" s="1"/>
  <c r="AI37" i="1" a="1"/>
  <c r="AI37" i="1" s="1"/>
  <c r="AI39" i="1" a="1"/>
  <c r="AI39" i="1" s="1"/>
  <c r="AI41" i="1" a="1"/>
  <c r="AI41" i="1" s="1"/>
  <c r="AI36" i="1" a="1"/>
  <c r="AI36" i="1" s="1"/>
  <c r="AI40" i="1" a="1"/>
  <c r="AI40" i="1" s="1"/>
  <c r="AI44" i="1" a="1"/>
  <c r="AI44" i="1" s="1"/>
  <c r="V36" i="1" a="1"/>
  <c r="V36" i="1" s="1"/>
  <c r="V38" i="1" a="1"/>
  <c r="V38" i="1" s="1"/>
  <c r="V40" i="1" a="1"/>
  <c r="V40" i="1" s="1"/>
  <c r="V42" i="1" a="1"/>
  <c r="V42" i="1" s="1"/>
  <c r="V44" i="1" a="1"/>
  <c r="V44" i="1" s="1"/>
  <c r="V35" i="1" a="1"/>
  <c r="V35" i="1" s="1"/>
  <c r="V37" i="1" a="1"/>
  <c r="V37" i="1" s="1"/>
  <c r="V39" i="1" a="1"/>
  <c r="V39" i="1" s="1"/>
  <c r="V41" i="1" a="1"/>
  <c r="V41" i="1" s="1"/>
  <c r="V43" i="1" a="1"/>
  <c r="V43" i="1" s="1"/>
  <c r="K12" i="1"/>
  <c r="K37" i="1"/>
  <c r="K11" i="1"/>
  <c r="K32" i="1"/>
  <c r="K15" i="1"/>
  <c r="K8" i="1"/>
  <c r="K14" i="1"/>
  <c r="K23" i="1"/>
  <c r="K31" i="1"/>
  <c r="K39" i="1"/>
  <c r="K7" i="1"/>
  <c r="K54" i="1"/>
  <c r="K13" i="1"/>
  <c r="K18" i="1"/>
  <c r="K26" i="1"/>
  <c r="K34" i="1"/>
  <c r="K42" i="1"/>
  <c r="K51" i="1"/>
  <c r="K6" i="1"/>
  <c r="K29" i="1"/>
  <c r="K52" i="1"/>
  <c r="K24" i="1"/>
  <c r="K40" i="1"/>
  <c r="K5" i="1"/>
  <c r="L5" i="1" s="1"/>
  <c r="K17" i="1"/>
  <c r="K25" i="1"/>
  <c r="K33" i="1"/>
  <c r="K41" i="1"/>
  <c r="K48" i="1"/>
  <c r="K49" i="1"/>
  <c r="K20" i="1"/>
  <c r="K28" i="1"/>
  <c r="K36" i="1"/>
  <c r="K46" i="1"/>
  <c r="K21" i="1"/>
  <c r="K47" i="1"/>
  <c r="K16" i="1"/>
  <c r="K10" i="1"/>
  <c r="K19" i="1"/>
  <c r="K27" i="1"/>
  <c r="K35" i="1"/>
  <c r="K45" i="1"/>
  <c r="K50" i="1"/>
  <c r="K44" i="1"/>
  <c r="K53" i="1"/>
  <c r="K22" i="1"/>
  <c r="K30" i="1"/>
  <c r="K38" i="1"/>
  <c r="K9" i="1"/>
  <c r="AI7" i="1" a="1"/>
  <c r="AI7" i="1" s="1"/>
  <c r="AK7" i="1" s="1"/>
  <c r="AI6" i="1" a="1"/>
  <c r="AI6" i="1" s="1"/>
  <c r="AK6" i="1" s="1"/>
  <c r="CV11" i="1" a="1"/>
  <c r="CV11" i="1" s="1"/>
  <c r="CX11" i="1" s="1"/>
  <c r="AV11" i="1" a="1"/>
  <c r="AV11" i="1" s="1"/>
  <c r="AX11" i="1" s="1"/>
  <c r="BV11" i="1" a="1"/>
  <c r="BV11" i="1" s="1"/>
  <c r="BX11" i="1" s="1"/>
  <c r="V9" i="1" a="1"/>
  <c r="V9" i="1" s="1"/>
  <c r="X9" i="1" s="1"/>
  <c r="CI14" i="1" a="1"/>
  <c r="CI14" i="1" s="1"/>
  <c r="CK14" i="1" s="1"/>
  <c r="BJ55" i="1"/>
  <c r="W55" i="1"/>
  <c r="CW55" i="1"/>
  <c r="CV5" i="1" a="1"/>
  <c r="CV5" i="1" s="1"/>
  <c r="CV14" i="1" a="1"/>
  <c r="CV14" i="1" s="1"/>
  <c r="CV46" i="1" a="1"/>
  <c r="CV46" i="1" s="1"/>
  <c r="CV25" i="1" a="1"/>
  <c r="CV25" i="1" s="1"/>
  <c r="CV13" i="1" a="1"/>
  <c r="CV13" i="1" s="1"/>
  <c r="CV48" i="1" a="1"/>
  <c r="CV48" i="1" s="1"/>
  <c r="CV27" i="1" a="1"/>
  <c r="CV27" i="1" s="1"/>
  <c r="CV15" i="1" a="1"/>
  <c r="CV15" i="1" s="1"/>
  <c r="CV50" i="1" a="1"/>
  <c r="CV50" i="1" s="1"/>
  <c r="CV29" i="1" a="1"/>
  <c r="CV29" i="1" s="1"/>
  <c r="CV17" i="1" a="1"/>
  <c r="CV17" i="1" s="1"/>
  <c r="CV49" i="1" a="1"/>
  <c r="CV49" i="1" s="1"/>
  <c r="CV28" i="1" a="1"/>
  <c r="CV28" i="1" s="1"/>
  <c r="CV16" i="1" a="1"/>
  <c r="CV16" i="1" s="1"/>
  <c r="CV53" i="1" a="1"/>
  <c r="CV53" i="1" s="1"/>
  <c r="CV30" i="1" a="1"/>
  <c r="CV30" i="1" s="1"/>
  <c r="CV18" i="1" a="1"/>
  <c r="CV18" i="1" s="1"/>
  <c r="CV6" i="1" a="1"/>
  <c r="CV6" i="1" s="1"/>
  <c r="CV32" i="1" a="1"/>
  <c r="CV32" i="1" s="1"/>
  <c r="CV20" i="1" a="1"/>
  <c r="CV20" i="1" s="1"/>
  <c r="CV54" i="1" a="1"/>
  <c r="CV54" i="1" s="1"/>
  <c r="CV31" i="1" a="1"/>
  <c r="CV31" i="1" s="1"/>
  <c r="CV19" i="1" a="1"/>
  <c r="CV19" i="1" s="1"/>
  <c r="CV7" i="1" a="1"/>
  <c r="CV7" i="1" s="1"/>
  <c r="CV33" i="1" a="1"/>
  <c r="CV33" i="1" s="1"/>
  <c r="CV21" i="1" a="1"/>
  <c r="CV21" i="1" s="1"/>
  <c r="CV9" i="1" a="1"/>
  <c r="CV9" i="1" s="1"/>
  <c r="CV44" i="1" a="1"/>
  <c r="CV44" i="1" s="1"/>
  <c r="CV23" i="1" a="1"/>
  <c r="CV23" i="1" s="1"/>
  <c r="CV34" i="1" a="1"/>
  <c r="CV34" i="1" s="1"/>
  <c r="CV22" i="1" a="1"/>
  <c r="CV22" i="1" s="1"/>
  <c r="CV10" i="1" a="1"/>
  <c r="CV10" i="1" s="1"/>
  <c r="CV45" i="1" a="1"/>
  <c r="CV45" i="1" s="1"/>
  <c r="CV24" i="1" a="1"/>
  <c r="CV24" i="1" s="1"/>
  <c r="CV12" i="1" a="1"/>
  <c r="CV12" i="1" s="1"/>
  <c r="CV47" i="1" a="1"/>
  <c r="CV47" i="1" s="1"/>
  <c r="CV26" i="1" a="1"/>
  <c r="CV26" i="1" s="1"/>
  <c r="CV8" i="1" a="1"/>
  <c r="CV8" i="1" s="1"/>
  <c r="CJ55" i="1"/>
  <c r="CI5" i="1" a="1"/>
  <c r="CI5" i="1" s="1"/>
  <c r="CI37" i="1" a="1"/>
  <c r="CI37" i="1" s="1"/>
  <c r="CI25" i="1" a="1"/>
  <c r="CI25" i="1" s="1"/>
  <c r="CI13" i="1" a="1"/>
  <c r="CI13" i="1" s="1"/>
  <c r="CI46" i="1" a="1"/>
  <c r="CI46" i="1" s="1"/>
  <c r="CI27" i="1" a="1"/>
  <c r="CI27" i="1" s="1"/>
  <c r="CI15" i="1" a="1"/>
  <c r="CI15" i="1" s="1"/>
  <c r="CI48" i="1" a="1"/>
  <c r="CI48" i="1" s="1"/>
  <c r="CI29" i="1" a="1"/>
  <c r="CI29" i="1" s="1"/>
  <c r="CI17" i="1" a="1"/>
  <c r="CI17" i="1" s="1"/>
  <c r="CI47" i="1" a="1"/>
  <c r="CI47" i="1" s="1"/>
  <c r="CI28" i="1" a="1"/>
  <c r="CI28" i="1" s="1"/>
  <c r="CI16" i="1" a="1"/>
  <c r="CI16" i="1" s="1"/>
  <c r="CI52" i="1" a="1"/>
  <c r="CI52" i="1" s="1"/>
  <c r="CI30" i="1" a="1"/>
  <c r="CI30" i="1" s="1"/>
  <c r="CI18" i="1" a="1"/>
  <c r="CI18" i="1" s="1"/>
  <c r="CI6" i="1" a="1"/>
  <c r="CI6" i="1" s="1"/>
  <c r="CI32" i="1" a="1"/>
  <c r="CI32" i="1" s="1"/>
  <c r="CI20" i="1" a="1"/>
  <c r="CI20" i="1" s="1"/>
  <c r="CI53" i="1" a="1"/>
  <c r="CI53" i="1" s="1"/>
  <c r="CI31" i="1" a="1"/>
  <c r="CI31" i="1" s="1"/>
  <c r="CI19" i="1" a="1"/>
  <c r="CI19" i="1" s="1"/>
  <c r="CI7" i="1" a="1"/>
  <c r="CI7" i="1" s="1"/>
  <c r="CI33" i="1" a="1"/>
  <c r="CI33" i="1" s="1"/>
  <c r="CI21" i="1" a="1"/>
  <c r="CI21" i="1" s="1"/>
  <c r="CI9" i="1" a="1"/>
  <c r="CI9" i="1" s="1"/>
  <c r="CI35" i="1" a="1"/>
  <c r="CI35" i="1" s="1"/>
  <c r="CI23" i="1" a="1"/>
  <c r="CI23" i="1" s="1"/>
  <c r="CI54" i="1" a="1"/>
  <c r="CI54" i="1" s="1"/>
  <c r="CI34" i="1" a="1"/>
  <c r="CI34" i="1" s="1"/>
  <c r="CI22" i="1" a="1"/>
  <c r="CI22" i="1" s="1"/>
  <c r="CI10" i="1" a="1"/>
  <c r="CI10" i="1" s="1"/>
  <c r="CI36" i="1" a="1"/>
  <c r="CI36" i="1" s="1"/>
  <c r="CI24" i="1" a="1"/>
  <c r="CI24" i="1" s="1"/>
  <c r="CI12" i="1" a="1"/>
  <c r="CI12" i="1" s="1"/>
  <c r="CI45" i="1" a="1"/>
  <c r="CI45" i="1" s="1"/>
  <c r="CI26" i="1" a="1"/>
  <c r="CI26" i="1" s="1"/>
  <c r="CI11" i="1" a="1"/>
  <c r="CI11" i="1" s="1"/>
  <c r="CI8" i="1" a="1"/>
  <c r="CI8" i="1" s="1"/>
  <c r="BV5" i="1" a="1"/>
  <c r="BV5" i="1" s="1"/>
  <c r="BV14" i="1" a="1"/>
  <c r="BV14" i="1" s="1"/>
  <c r="BV37" i="1" a="1"/>
  <c r="BV37" i="1" s="1"/>
  <c r="BV25" i="1" a="1"/>
  <c r="BV25" i="1" s="1"/>
  <c r="BV13" i="1" a="1"/>
  <c r="BV13" i="1" s="1"/>
  <c r="BV39" i="1" a="1"/>
  <c r="BV39" i="1" s="1"/>
  <c r="BV27" i="1" a="1"/>
  <c r="BV27" i="1" s="1"/>
  <c r="BV15" i="1" a="1"/>
  <c r="BV15" i="1" s="1"/>
  <c r="BV41" i="1" a="1"/>
  <c r="BV41" i="1" s="1"/>
  <c r="BV29" i="1" a="1"/>
  <c r="BV29" i="1" s="1"/>
  <c r="BV17" i="1" a="1"/>
  <c r="BV17" i="1" s="1"/>
  <c r="BV40" i="1" a="1"/>
  <c r="BV40" i="1" s="1"/>
  <c r="BV28" i="1" a="1"/>
  <c r="BV28" i="1" s="1"/>
  <c r="BV16" i="1" a="1"/>
  <c r="BV16" i="1" s="1"/>
  <c r="BV42" i="1" a="1"/>
  <c r="BV42" i="1" s="1"/>
  <c r="BV30" i="1" a="1"/>
  <c r="BV30" i="1" s="1"/>
  <c r="BV18" i="1" a="1"/>
  <c r="BV18" i="1" s="1"/>
  <c r="BV6" i="1" a="1"/>
  <c r="BV6" i="1" s="1"/>
  <c r="BV32" i="1" a="1"/>
  <c r="BV32" i="1" s="1"/>
  <c r="BV20" i="1" a="1"/>
  <c r="BV20" i="1" s="1"/>
  <c r="BV43" i="1" a="1"/>
  <c r="BV43" i="1" s="1"/>
  <c r="BV31" i="1" a="1"/>
  <c r="BV31" i="1" s="1"/>
  <c r="BV19" i="1" a="1"/>
  <c r="BV19" i="1" s="1"/>
  <c r="BV7" i="1" a="1"/>
  <c r="BV7" i="1" s="1"/>
  <c r="BV33" i="1" a="1"/>
  <c r="BV33" i="1" s="1"/>
  <c r="BV21" i="1" a="1"/>
  <c r="BV21" i="1" s="1"/>
  <c r="BV9" i="1" a="1"/>
  <c r="BV9" i="1" s="1"/>
  <c r="BV35" i="1" a="1"/>
  <c r="BV35" i="1" s="1"/>
  <c r="BV23" i="1" a="1"/>
  <c r="BV23" i="1" s="1"/>
  <c r="BV34" i="1" a="1"/>
  <c r="BV34" i="1" s="1"/>
  <c r="BV22" i="1" a="1"/>
  <c r="BV22" i="1" s="1"/>
  <c r="BV10" i="1" a="1"/>
  <c r="BV10" i="1" s="1"/>
  <c r="BV36" i="1" a="1"/>
  <c r="BV36" i="1" s="1"/>
  <c r="BV24" i="1" a="1"/>
  <c r="BV24" i="1" s="1"/>
  <c r="BV12" i="1" a="1"/>
  <c r="BV12" i="1" s="1"/>
  <c r="BV38" i="1" a="1"/>
  <c r="BV38" i="1" s="1"/>
  <c r="BV26" i="1" a="1"/>
  <c r="BV26" i="1" s="1"/>
  <c r="BW44" i="1"/>
  <c r="BV8" i="1" a="1"/>
  <c r="BV8" i="1" s="1"/>
  <c r="AV51" i="1" a="1"/>
  <c r="AV51" i="1" s="1"/>
  <c r="AV19" i="1" a="1"/>
  <c r="AV19" i="1" s="1"/>
  <c r="AV7" i="1" a="1"/>
  <c r="AV7" i="1" s="1"/>
  <c r="AV24" i="1" a="1"/>
  <c r="AV24" i="1" s="1"/>
  <c r="AV12" i="1" a="1"/>
  <c r="AV12" i="1" s="1"/>
  <c r="AV48" i="1" a="1"/>
  <c r="AV48" i="1" s="1"/>
  <c r="AV17" i="1" a="1"/>
  <c r="AV17" i="1" s="1"/>
  <c r="AV54" i="1" a="1"/>
  <c r="AV54" i="1" s="1"/>
  <c r="AV22" i="1" a="1"/>
  <c r="AV22" i="1" s="1"/>
  <c r="AV10" i="1" a="1"/>
  <c r="AV10" i="1" s="1"/>
  <c r="AV46" i="1" a="1"/>
  <c r="AV46" i="1" s="1"/>
  <c r="AV15" i="1" a="1"/>
  <c r="AV15" i="1" s="1"/>
  <c r="AV52" i="1" a="1"/>
  <c r="AV52" i="1" s="1"/>
  <c r="AV20" i="1" a="1"/>
  <c r="AV20" i="1" s="1"/>
  <c r="AV35" i="1" a="1"/>
  <c r="AV35" i="1" s="1"/>
  <c r="AV13" i="1" a="1"/>
  <c r="AV13" i="1" s="1"/>
  <c r="AV49" i="1" a="1"/>
  <c r="AV49" i="1" s="1"/>
  <c r="AV18" i="1" a="1"/>
  <c r="AV18" i="1" s="1"/>
  <c r="AV6" i="1" a="1"/>
  <c r="AV6" i="1" s="1"/>
  <c r="AV23" i="1" a="1"/>
  <c r="AV23" i="1" s="1"/>
  <c r="AV47" i="1" a="1"/>
  <c r="AV47" i="1" s="1"/>
  <c r="AV16" i="1" a="1"/>
  <c r="AV16" i="1" s="1"/>
  <c r="AV53" i="1" a="1"/>
  <c r="AV53" i="1" s="1"/>
  <c r="AV21" i="1" a="1"/>
  <c r="AV21" i="1" s="1"/>
  <c r="AV9" i="1" a="1"/>
  <c r="AV9" i="1" s="1"/>
  <c r="AV45" i="1" a="1"/>
  <c r="AV45" i="1" s="1"/>
  <c r="AW55" i="1"/>
  <c r="AV8" i="1" a="1"/>
  <c r="AV8" i="1" s="1"/>
  <c r="AV5" i="1" a="1"/>
  <c r="AV5" i="1" s="1"/>
  <c r="AV14" i="1" a="1"/>
  <c r="AV14" i="1" s="1"/>
  <c r="V51" i="1" a="1"/>
  <c r="V51" i="1" s="1"/>
  <c r="V47" i="1" a="1"/>
  <c r="V47" i="1" s="1"/>
  <c r="V33" i="1" a="1"/>
  <c r="V33" i="1" s="1"/>
  <c r="V29" i="1" a="1"/>
  <c r="V29" i="1" s="1"/>
  <c r="V25" i="1" a="1"/>
  <c r="V25" i="1" s="1"/>
  <c r="V21" i="1" a="1"/>
  <c r="V21" i="1" s="1"/>
  <c r="V17" i="1" a="1"/>
  <c r="V17" i="1" s="1"/>
  <c r="V52" i="1" a="1"/>
  <c r="V52" i="1" s="1"/>
  <c r="V48" i="1" a="1"/>
  <c r="V48" i="1" s="1"/>
  <c r="V34" i="1" a="1"/>
  <c r="V34" i="1" s="1"/>
  <c r="V30" i="1" a="1"/>
  <c r="V30" i="1" s="1"/>
  <c r="V26" i="1" a="1"/>
  <c r="V26" i="1" s="1"/>
  <c r="V22" i="1" a="1"/>
  <c r="V22" i="1" s="1"/>
  <c r="V18" i="1" a="1"/>
  <c r="V18" i="1" s="1"/>
  <c r="V14" i="1" a="1"/>
  <c r="V14" i="1" s="1"/>
  <c r="V53" i="1" a="1"/>
  <c r="V53" i="1" s="1"/>
  <c r="V49" i="1" a="1"/>
  <c r="V49" i="1" s="1"/>
  <c r="V45" i="1" a="1"/>
  <c r="V45" i="1" s="1"/>
  <c r="V31" i="1" a="1"/>
  <c r="V31" i="1" s="1"/>
  <c r="V27" i="1" a="1"/>
  <c r="V27" i="1" s="1"/>
  <c r="V23" i="1" a="1"/>
  <c r="V23" i="1" s="1"/>
  <c r="V19" i="1" a="1"/>
  <c r="V19" i="1" s="1"/>
  <c r="V15" i="1" a="1"/>
  <c r="V15" i="1" s="1"/>
  <c r="V54" i="1" a="1"/>
  <c r="V54" i="1" s="1"/>
  <c r="V50" i="1" a="1"/>
  <c r="V50" i="1" s="1"/>
  <c r="V46" i="1" a="1"/>
  <c r="V46" i="1" s="1"/>
  <c r="V32" i="1" a="1"/>
  <c r="V32" i="1" s="1"/>
  <c r="V28" i="1" a="1"/>
  <c r="V28" i="1" s="1"/>
  <c r="V24" i="1" a="1"/>
  <c r="V24" i="1" s="1"/>
  <c r="V20" i="1" a="1"/>
  <c r="V20" i="1" s="1"/>
  <c r="V16" i="1" a="1"/>
  <c r="V16" i="1" s="1"/>
  <c r="V12" i="1" a="1"/>
  <c r="V12" i="1" s="1"/>
  <c r="V6" i="1" a="1"/>
  <c r="V6" i="1" s="1"/>
  <c r="V5" i="1" a="1"/>
  <c r="V5" i="1" s="1"/>
  <c r="V11" i="1" a="1"/>
  <c r="V11" i="1" s="1"/>
  <c r="V8" i="1" a="1"/>
  <c r="V8" i="1" s="1"/>
  <c r="V13" i="1" a="1"/>
  <c r="V13" i="1" s="1"/>
  <c r="V7" i="1" a="1"/>
  <c r="V7" i="1" s="1"/>
  <c r="V10" i="1" a="1"/>
  <c r="V10" i="1" s="1"/>
  <c r="BI51" i="1" a="1"/>
  <c r="BI51" i="1" s="1"/>
  <c r="BI47" i="1" a="1"/>
  <c r="BI47" i="1" s="1"/>
  <c r="BI32" i="1" a="1"/>
  <c r="BI32" i="1" s="1"/>
  <c r="BI28" i="1" a="1"/>
  <c r="BI28" i="1" s="1"/>
  <c r="BI24" i="1" a="1"/>
  <c r="BI24" i="1" s="1"/>
  <c r="BI20" i="1" a="1"/>
  <c r="BI20" i="1" s="1"/>
  <c r="BI16" i="1" a="1"/>
  <c r="BI16" i="1" s="1"/>
  <c r="BI12" i="1" a="1"/>
  <c r="BI12" i="1" s="1"/>
  <c r="BI52" i="1" a="1"/>
  <c r="BI52" i="1" s="1"/>
  <c r="BI48" i="1" a="1"/>
  <c r="BI48" i="1" s="1"/>
  <c r="BI33" i="1" a="1"/>
  <c r="BI33" i="1" s="1"/>
  <c r="BI29" i="1" a="1"/>
  <c r="BI29" i="1" s="1"/>
  <c r="BI25" i="1" a="1"/>
  <c r="BI25" i="1" s="1"/>
  <c r="BI21" i="1" a="1"/>
  <c r="BI21" i="1" s="1"/>
  <c r="BI17" i="1" a="1"/>
  <c r="BI17" i="1" s="1"/>
  <c r="BI13" i="1" a="1"/>
  <c r="BI13" i="1" s="1"/>
  <c r="BI9" i="1" a="1"/>
  <c r="BI9" i="1" s="1"/>
  <c r="BI53" i="1" a="1"/>
  <c r="BI53" i="1" s="1"/>
  <c r="BI49" i="1" a="1"/>
  <c r="BI49" i="1" s="1"/>
  <c r="BI45" i="1" a="1"/>
  <c r="BI45" i="1" s="1"/>
  <c r="BI30" i="1" a="1"/>
  <c r="BI30" i="1" s="1"/>
  <c r="BI26" i="1" a="1"/>
  <c r="BI26" i="1" s="1"/>
  <c r="BI22" i="1" a="1"/>
  <c r="BI22" i="1" s="1"/>
  <c r="BI18" i="1" a="1"/>
  <c r="BI18" i="1" s="1"/>
  <c r="BI14" i="1" a="1"/>
  <c r="BI14" i="1" s="1"/>
  <c r="BI10" i="1" a="1"/>
  <c r="BI10" i="1" s="1"/>
  <c r="BI54" i="1" a="1"/>
  <c r="BI54" i="1" s="1"/>
  <c r="BI50" i="1" a="1"/>
  <c r="BI50" i="1" s="1"/>
  <c r="BI46" i="1" a="1"/>
  <c r="BI46" i="1" s="1"/>
  <c r="BI31" i="1" a="1"/>
  <c r="BI31" i="1" s="1"/>
  <c r="BI27" i="1" a="1"/>
  <c r="BI27" i="1" s="1"/>
  <c r="BI23" i="1" a="1"/>
  <c r="BI23" i="1" s="1"/>
  <c r="BI19" i="1" a="1"/>
  <c r="BI19" i="1" s="1"/>
  <c r="BI15" i="1" a="1"/>
  <c r="BI15" i="1" s="1"/>
  <c r="BI11" i="1" a="1"/>
  <c r="BI11" i="1" s="1"/>
  <c r="BI6" i="1" a="1"/>
  <c r="BI6" i="1" s="1"/>
  <c r="BI5" i="1" a="1"/>
  <c r="BI5" i="1" s="1"/>
  <c r="BI8" i="1" a="1"/>
  <c r="BI8" i="1" s="1"/>
  <c r="BI7" i="1" a="1"/>
  <c r="BI7" i="1" s="1"/>
  <c r="AJ55" i="1"/>
  <c r="AI51" i="1" a="1"/>
  <c r="AI51" i="1" s="1"/>
  <c r="AI47" i="1" a="1"/>
  <c r="AI47" i="1" s="1"/>
  <c r="AI32" i="1" a="1"/>
  <c r="AI32" i="1" s="1"/>
  <c r="AI28" i="1" a="1"/>
  <c r="AI28" i="1" s="1"/>
  <c r="AI24" i="1" a="1"/>
  <c r="AI24" i="1" s="1"/>
  <c r="AI20" i="1" a="1"/>
  <c r="AI20" i="1" s="1"/>
  <c r="AI16" i="1" a="1"/>
  <c r="AI16" i="1" s="1"/>
  <c r="AI12" i="1" a="1"/>
  <c r="AI12" i="1" s="1"/>
  <c r="AI52" i="1" a="1"/>
  <c r="AI52" i="1" s="1"/>
  <c r="AI48" i="1" a="1"/>
  <c r="AI48" i="1" s="1"/>
  <c r="AI33" i="1" a="1"/>
  <c r="AI33" i="1" s="1"/>
  <c r="AI29" i="1" a="1"/>
  <c r="AI29" i="1" s="1"/>
  <c r="AI25" i="1" a="1"/>
  <c r="AI25" i="1" s="1"/>
  <c r="AI21" i="1" a="1"/>
  <c r="AI21" i="1" s="1"/>
  <c r="AI17" i="1" a="1"/>
  <c r="AI17" i="1" s="1"/>
  <c r="AI13" i="1" a="1"/>
  <c r="AI13" i="1" s="1"/>
  <c r="AI9" i="1" a="1"/>
  <c r="AI9" i="1" s="1"/>
  <c r="AI53" i="1" a="1"/>
  <c r="AI53" i="1" s="1"/>
  <c r="AI49" i="1" a="1"/>
  <c r="AI49" i="1" s="1"/>
  <c r="AI45" i="1" a="1"/>
  <c r="AI45" i="1" s="1"/>
  <c r="AI30" i="1" a="1"/>
  <c r="AI30" i="1" s="1"/>
  <c r="AI26" i="1" a="1"/>
  <c r="AI26" i="1" s="1"/>
  <c r="AI22" i="1" a="1"/>
  <c r="AI22" i="1" s="1"/>
  <c r="AI18" i="1" a="1"/>
  <c r="AI18" i="1" s="1"/>
  <c r="AI14" i="1" a="1"/>
  <c r="AI14" i="1" s="1"/>
  <c r="AI10" i="1" a="1"/>
  <c r="AI10" i="1" s="1"/>
  <c r="AI54" i="1" a="1"/>
  <c r="AI54" i="1" s="1"/>
  <c r="AI50" i="1" a="1"/>
  <c r="AI50" i="1" s="1"/>
  <c r="AI46" i="1" a="1"/>
  <c r="AI46" i="1" s="1"/>
  <c r="AI31" i="1" a="1"/>
  <c r="AI31" i="1" s="1"/>
  <c r="AI27" i="1" a="1"/>
  <c r="AI27" i="1" s="1"/>
  <c r="AI23" i="1" a="1"/>
  <c r="AI23" i="1" s="1"/>
  <c r="AI19" i="1" a="1"/>
  <c r="AI19" i="1" s="1"/>
  <c r="AI15" i="1" a="1"/>
  <c r="AI15" i="1" s="1"/>
  <c r="AI11" i="1" a="1"/>
  <c r="AI11" i="1" s="1"/>
  <c r="AI5" i="1" a="1"/>
  <c r="AI5" i="1" s="1"/>
  <c r="AI8" i="1" a="1"/>
  <c r="AI8" i="1" s="1"/>
  <c r="C83" i="5"/>
  <c r="E83" i="5" s="1"/>
  <c r="C84" i="5"/>
  <c r="F84" i="5" s="1"/>
  <c r="G84" i="5" s="1"/>
  <c r="H84" i="5" s="1"/>
  <c r="C85" i="5"/>
  <c r="C86" i="5"/>
  <c r="C87" i="5"/>
  <c r="K87" i="5" s="1"/>
  <c r="C88" i="5"/>
  <c r="F88" i="5" s="1"/>
  <c r="G88" i="5" s="1"/>
  <c r="H88" i="5" s="1"/>
  <c r="C89" i="5"/>
  <c r="F89" i="5" s="1"/>
  <c r="G89" i="5" s="1"/>
  <c r="H89" i="5" s="1"/>
  <c r="C90" i="5"/>
  <c r="C91" i="5"/>
  <c r="E91" i="5" s="1"/>
  <c r="C92" i="5"/>
  <c r="F92" i="5" s="1"/>
  <c r="G92" i="5" s="1"/>
  <c r="H92" i="5" s="1"/>
  <c r="C93" i="5"/>
  <c r="C94" i="5"/>
  <c r="C95" i="5"/>
  <c r="K95" i="5" s="1"/>
  <c r="C96" i="5"/>
  <c r="F96" i="5" s="1"/>
  <c r="G96" i="5" s="1"/>
  <c r="H96" i="5" s="1"/>
  <c r="C97" i="5"/>
  <c r="C98" i="5"/>
  <c r="C99" i="5"/>
  <c r="E99" i="5" s="1"/>
  <c r="C100" i="5"/>
  <c r="F100" i="5" s="1"/>
  <c r="G100" i="5" s="1"/>
  <c r="H100" i="5" s="1"/>
  <c r="C101" i="5"/>
  <c r="C102" i="5"/>
  <c r="C103" i="5"/>
  <c r="K103" i="5" s="1"/>
  <c r="C104" i="5"/>
  <c r="F104" i="5" s="1"/>
  <c r="G104" i="5" s="1"/>
  <c r="H104" i="5" s="1"/>
  <c r="C105" i="5"/>
  <c r="F105" i="5" s="1"/>
  <c r="G105" i="5" s="1"/>
  <c r="H105" i="5" s="1"/>
  <c r="C106" i="5"/>
  <c r="C107" i="5"/>
  <c r="E107" i="5" s="1"/>
  <c r="C108" i="5"/>
  <c r="F108" i="5" s="1"/>
  <c r="G108" i="5" s="1"/>
  <c r="H108" i="5" s="1"/>
  <c r="C109" i="5"/>
  <c r="C110" i="5"/>
  <c r="C111" i="5"/>
  <c r="K111" i="5" s="1"/>
  <c r="C112" i="5"/>
  <c r="F112" i="5" s="1"/>
  <c r="G112" i="5" s="1"/>
  <c r="H112" i="5" s="1"/>
  <c r="C113" i="5"/>
  <c r="F113" i="5" s="1"/>
  <c r="G113" i="5" s="1"/>
  <c r="H113" i="5" s="1"/>
  <c r="C114" i="5"/>
  <c r="C115" i="5"/>
  <c r="E115" i="5" s="1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C82" i="5"/>
  <c r="E82" i="5" s="1"/>
  <c r="D82" i="5"/>
  <c r="C44" i="5"/>
  <c r="C45" i="5"/>
  <c r="K45" i="5" s="1"/>
  <c r="C46" i="5"/>
  <c r="F46" i="5" s="1"/>
  <c r="G46" i="5" s="1"/>
  <c r="H46" i="5" s="1"/>
  <c r="C47" i="5"/>
  <c r="C48" i="5"/>
  <c r="K48" i="5" s="1"/>
  <c r="C49" i="5"/>
  <c r="F49" i="5" s="1"/>
  <c r="G49" i="5" s="1"/>
  <c r="H49" i="5" s="1"/>
  <c r="C50" i="5"/>
  <c r="F50" i="5" s="1"/>
  <c r="G50" i="5" s="1"/>
  <c r="H50" i="5" s="1"/>
  <c r="C51" i="5"/>
  <c r="C52" i="5"/>
  <c r="C53" i="5"/>
  <c r="K53" i="5" s="1"/>
  <c r="C54" i="5"/>
  <c r="F54" i="5" s="1"/>
  <c r="G54" i="5" s="1"/>
  <c r="H54" i="5" s="1"/>
  <c r="C55" i="5"/>
  <c r="C56" i="5"/>
  <c r="K56" i="5" s="1"/>
  <c r="C57" i="5"/>
  <c r="K57" i="5" s="1"/>
  <c r="C58" i="5"/>
  <c r="F58" i="5" s="1"/>
  <c r="G58" i="5" s="1"/>
  <c r="H58" i="5" s="1"/>
  <c r="C59" i="5"/>
  <c r="C60" i="5"/>
  <c r="C61" i="5"/>
  <c r="K61" i="5" s="1"/>
  <c r="C62" i="5"/>
  <c r="F62" i="5" s="1"/>
  <c r="G62" i="5" s="1"/>
  <c r="H62" i="5" s="1"/>
  <c r="C63" i="5"/>
  <c r="C64" i="5"/>
  <c r="K64" i="5" s="1"/>
  <c r="C65" i="5"/>
  <c r="F65" i="5" s="1"/>
  <c r="G65" i="5" s="1"/>
  <c r="H65" i="5" s="1"/>
  <c r="C66" i="5"/>
  <c r="F66" i="5" s="1"/>
  <c r="G66" i="5" s="1"/>
  <c r="H66" i="5" s="1"/>
  <c r="C67" i="5"/>
  <c r="C68" i="5"/>
  <c r="C69" i="5"/>
  <c r="K69" i="5" s="1"/>
  <c r="C70" i="5"/>
  <c r="F70" i="5" s="1"/>
  <c r="G70" i="5" s="1"/>
  <c r="H70" i="5" s="1"/>
  <c r="C71" i="5"/>
  <c r="C72" i="5"/>
  <c r="K72" i="5" s="1"/>
  <c r="C73" i="5"/>
  <c r="K73" i="5" s="1"/>
  <c r="C74" i="5"/>
  <c r="F74" i="5" s="1"/>
  <c r="G74" i="5" s="1"/>
  <c r="H74" i="5" s="1"/>
  <c r="C75" i="5"/>
  <c r="C76" i="5"/>
  <c r="C77" i="5"/>
  <c r="K77" i="5" s="1"/>
  <c r="C78" i="5"/>
  <c r="F78" i="5" s="1"/>
  <c r="G78" i="5" s="1"/>
  <c r="H78" i="5" s="1"/>
  <c r="C79" i="5"/>
  <c r="C80" i="5"/>
  <c r="K80" i="5" s="1"/>
  <c r="C81" i="5"/>
  <c r="F81" i="5" s="1"/>
  <c r="G81" i="5" s="1"/>
  <c r="H81" i="5" s="1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C43" i="5"/>
  <c r="D43" i="5"/>
  <c r="C4" i="5"/>
  <c r="E4" i="5" s="1"/>
  <c r="C5" i="5"/>
  <c r="C6" i="5"/>
  <c r="K6" i="5" s="1"/>
  <c r="C7" i="5"/>
  <c r="F7" i="5" s="1"/>
  <c r="G7" i="5" s="1"/>
  <c r="H7" i="5" s="1"/>
  <c r="C8" i="5"/>
  <c r="E8" i="5" s="1"/>
  <c r="C9" i="5"/>
  <c r="C10" i="5"/>
  <c r="C11" i="5"/>
  <c r="F11" i="5" s="1"/>
  <c r="G11" i="5" s="1"/>
  <c r="H11" i="5" s="1"/>
  <c r="C12" i="5"/>
  <c r="E12" i="5" s="1"/>
  <c r="C13" i="5"/>
  <c r="C14" i="5"/>
  <c r="F14" i="5" s="1"/>
  <c r="G14" i="5" s="1"/>
  <c r="H14" i="5" s="1"/>
  <c r="C15" i="5"/>
  <c r="F15" i="5" s="1"/>
  <c r="G15" i="5" s="1"/>
  <c r="H15" i="5" s="1"/>
  <c r="C16" i="5"/>
  <c r="E16" i="5" s="1"/>
  <c r="C17" i="5"/>
  <c r="C18" i="5"/>
  <c r="K18" i="5" s="1"/>
  <c r="C19" i="5"/>
  <c r="F19" i="5" s="1"/>
  <c r="G19" i="5" s="1"/>
  <c r="H19" i="5" s="1"/>
  <c r="C20" i="5"/>
  <c r="E20" i="5" s="1"/>
  <c r="C21" i="5"/>
  <c r="C22" i="5"/>
  <c r="F22" i="5" s="1"/>
  <c r="G22" i="5" s="1"/>
  <c r="H22" i="5" s="1"/>
  <c r="C23" i="5"/>
  <c r="F23" i="5" s="1"/>
  <c r="G23" i="5" s="1"/>
  <c r="H23" i="5" s="1"/>
  <c r="C24" i="5"/>
  <c r="E24" i="5" s="1"/>
  <c r="C25" i="5"/>
  <c r="C26" i="5"/>
  <c r="K26" i="5" s="1"/>
  <c r="C27" i="5"/>
  <c r="F27" i="5" s="1"/>
  <c r="G27" i="5" s="1"/>
  <c r="H27" i="5" s="1"/>
  <c r="C28" i="5"/>
  <c r="E28" i="5" s="1"/>
  <c r="C29" i="5"/>
  <c r="C30" i="5"/>
  <c r="F30" i="5" s="1"/>
  <c r="G30" i="5" s="1"/>
  <c r="H30" i="5" s="1"/>
  <c r="C31" i="5"/>
  <c r="F31" i="5" s="1"/>
  <c r="G31" i="5" s="1"/>
  <c r="H31" i="5" s="1"/>
  <c r="C32" i="5"/>
  <c r="E32" i="5" s="1"/>
  <c r="C33" i="5"/>
  <c r="C34" i="5"/>
  <c r="E34" i="5" s="1"/>
  <c r="C35" i="5"/>
  <c r="F35" i="5" s="1"/>
  <c r="G35" i="5" s="1"/>
  <c r="H35" i="5" s="1"/>
  <c r="C36" i="5"/>
  <c r="E36" i="5" s="1"/>
  <c r="C37" i="5"/>
  <c r="F37" i="5" s="1"/>
  <c r="G37" i="5" s="1"/>
  <c r="H37" i="5" s="1"/>
  <c r="C38" i="5"/>
  <c r="K38" i="5" s="1"/>
  <c r="C39" i="5"/>
  <c r="F39" i="5" s="1"/>
  <c r="G39" i="5" s="1"/>
  <c r="H39" i="5" s="1"/>
  <c r="C40" i="5"/>
  <c r="E40" i="5" s="1"/>
  <c r="C41" i="5"/>
  <c r="F41" i="5" s="1"/>
  <c r="G41" i="5" s="1"/>
  <c r="H41" i="5" s="1"/>
  <c r="C42" i="5"/>
  <c r="K42" i="5" s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E6" i="5"/>
  <c r="E7" i="5"/>
  <c r="C3" i="5"/>
  <c r="D3" i="5"/>
  <c r="C117" i="5"/>
  <c r="E117" i="5" s="1"/>
  <c r="C118" i="5"/>
  <c r="E118" i="5" s="1"/>
  <c r="C119" i="5"/>
  <c r="E119" i="5" s="1"/>
  <c r="C120" i="5"/>
  <c r="E120" i="5" s="1"/>
  <c r="C121" i="5"/>
  <c r="E121" i="5" s="1"/>
  <c r="C122" i="5"/>
  <c r="F122" i="5" s="1"/>
  <c r="G122" i="5" s="1"/>
  <c r="H122" i="5" s="1"/>
  <c r="C123" i="5"/>
  <c r="E123" i="5" s="1"/>
  <c r="C124" i="5"/>
  <c r="E124" i="5" s="1"/>
  <c r="C125" i="5"/>
  <c r="E125" i="5" s="1"/>
  <c r="D117" i="5"/>
  <c r="D118" i="5"/>
  <c r="J118" i="5" s="1"/>
  <c r="D119" i="5"/>
  <c r="D120" i="5"/>
  <c r="D121" i="5"/>
  <c r="D122" i="5"/>
  <c r="D123" i="5"/>
  <c r="D124" i="5"/>
  <c r="D125" i="5"/>
  <c r="I118" i="5"/>
  <c r="C116" i="5"/>
  <c r="E116" i="5" s="1"/>
  <c r="D116" i="5"/>
  <c r="C127" i="5"/>
  <c r="E127" i="5" s="1"/>
  <c r="C128" i="5"/>
  <c r="E128" i="5" s="1"/>
  <c r="C129" i="5"/>
  <c r="C130" i="5"/>
  <c r="F130" i="5" s="1"/>
  <c r="G130" i="5" s="1"/>
  <c r="H130" i="5" s="1"/>
  <c r="C131" i="5"/>
  <c r="F131" i="5" s="1"/>
  <c r="G131" i="5" s="1"/>
  <c r="H131" i="5" s="1"/>
  <c r="C132" i="5"/>
  <c r="F132" i="5" s="1"/>
  <c r="G132" i="5" s="1"/>
  <c r="H132" i="5" s="1"/>
  <c r="C133" i="5"/>
  <c r="C134" i="5"/>
  <c r="F134" i="5" s="1"/>
  <c r="G134" i="5" s="1"/>
  <c r="H134" i="5" s="1"/>
  <c r="C135" i="5"/>
  <c r="E135" i="5" s="1"/>
  <c r="C136" i="5"/>
  <c r="E136" i="5" s="1"/>
  <c r="C137" i="5"/>
  <c r="C138" i="5"/>
  <c r="F138" i="5" s="1"/>
  <c r="G138" i="5" s="1"/>
  <c r="H138" i="5" s="1"/>
  <c r="C139" i="5"/>
  <c r="F139" i="5" s="1"/>
  <c r="G139" i="5" s="1"/>
  <c r="H139" i="5" s="1"/>
  <c r="C140" i="5"/>
  <c r="F140" i="5" s="1"/>
  <c r="G140" i="5" s="1"/>
  <c r="H140" i="5" s="1"/>
  <c r="C141" i="5"/>
  <c r="C142" i="5"/>
  <c r="F142" i="5" s="1"/>
  <c r="G142" i="5" s="1"/>
  <c r="H142" i="5" s="1"/>
  <c r="C143" i="5"/>
  <c r="E143" i="5" s="1"/>
  <c r="C144" i="5"/>
  <c r="E144" i="5" s="1"/>
  <c r="C145" i="5"/>
  <c r="C146" i="5"/>
  <c r="F146" i="5" s="1"/>
  <c r="G146" i="5" s="1"/>
  <c r="H146" i="5" s="1"/>
  <c r="C147" i="5"/>
  <c r="E147" i="5" s="1"/>
  <c r="C148" i="5"/>
  <c r="F148" i="5" s="1"/>
  <c r="G148" i="5" s="1"/>
  <c r="H148" i="5" s="1"/>
  <c r="C149" i="5"/>
  <c r="C150" i="5"/>
  <c r="F150" i="5" s="1"/>
  <c r="G150" i="5" s="1"/>
  <c r="H150" i="5" s="1"/>
  <c r="C151" i="5"/>
  <c r="E151" i="5" s="1"/>
  <c r="C152" i="5"/>
  <c r="E152" i="5" s="1"/>
  <c r="C153" i="5"/>
  <c r="C154" i="5"/>
  <c r="F154" i="5" s="1"/>
  <c r="G154" i="5" s="1"/>
  <c r="H154" i="5" s="1"/>
  <c r="C155" i="5"/>
  <c r="F155" i="5" s="1"/>
  <c r="G155" i="5" s="1"/>
  <c r="H155" i="5" s="1"/>
  <c r="C156" i="5"/>
  <c r="F156" i="5" s="1"/>
  <c r="G156" i="5" s="1"/>
  <c r="H156" i="5" s="1"/>
  <c r="C157" i="5"/>
  <c r="C158" i="5"/>
  <c r="F158" i="5" s="1"/>
  <c r="G158" i="5" s="1"/>
  <c r="H158" i="5" s="1"/>
  <c r="C159" i="5"/>
  <c r="E159" i="5" s="1"/>
  <c r="C160" i="5"/>
  <c r="E160" i="5" s="1"/>
  <c r="C161" i="5"/>
  <c r="C162" i="5"/>
  <c r="F162" i="5" s="1"/>
  <c r="G162" i="5" s="1"/>
  <c r="H162" i="5" s="1"/>
  <c r="C163" i="5"/>
  <c r="F163" i="5" s="1"/>
  <c r="G163" i="5" s="1"/>
  <c r="H163" i="5" s="1"/>
  <c r="C164" i="5"/>
  <c r="F164" i="5" s="1"/>
  <c r="G164" i="5" s="1"/>
  <c r="H164" i="5" s="1"/>
  <c r="C165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F141" i="5"/>
  <c r="G141" i="5" s="1"/>
  <c r="H141" i="5" s="1"/>
  <c r="C126" i="5"/>
  <c r="E126" i="5" s="1"/>
  <c r="D126" i="5"/>
  <c r="C207" i="5"/>
  <c r="K207" i="5" s="1"/>
  <c r="C208" i="5"/>
  <c r="K208" i="5" s="1"/>
  <c r="C209" i="5"/>
  <c r="K209" i="5" s="1"/>
  <c r="C210" i="5"/>
  <c r="K210" i="5" s="1"/>
  <c r="C211" i="5"/>
  <c r="K211" i="5" s="1"/>
  <c r="C212" i="5"/>
  <c r="K212" i="5" s="1"/>
  <c r="C213" i="5"/>
  <c r="K213" i="5" s="1"/>
  <c r="C214" i="5"/>
  <c r="K214" i="5" s="1"/>
  <c r="C215" i="5"/>
  <c r="K215" i="5" s="1"/>
  <c r="C216" i="5"/>
  <c r="K216" i="5" s="1"/>
  <c r="C217" i="5"/>
  <c r="K217" i="5" s="1"/>
  <c r="C218" i="5"/>
  <c r="K218" i="5" s="1"/>
  <c r="D207" i="5"/>
  <c r="D208" i="5"/>
  <c r="D209" i="5"/>
  <c r="D210" i="5"/>
  <c r="D211" i="5"/>
  <c r="D212" i="5"/>
  <c r="D213" i="5"/>
  <c r="D214" i="5"/>
  <c r="D215" i="5"/>
  <c r="D216" i="5"/>
  <c r="D217" i="5"/>
  <c r="D218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F207" i="5"/>
  <c r="F208" i="5"/>
  <c r="F209" i="5"/>
  <c r="F210" i="5"/>
  <c r="F211" i="5"/>
  <c r="F212" i="5"/>
  <c r="F213" i="5"/>
  <c r="F214" i="5"/>
  <c r="F215" i="5"/>
  <c r="G215" i="5" s="1"/>
  <c r="H215" i="5" s="1"/>
  <c r="F216" i="5"/>
  <c r="G216" i="5" s="1"/>
  <c r="H216" i="5" s="1"/>
  <c r="F217" i="5"/>
  <c r="G217" i="5" s="1"/>
  <c r="H217" i="5" s="1"/>
  <c r="F218" i="5"/>
  <c r="G218" i="5" s="1"/>
  <c r="H218" i="5" s="1"/>
  <c r="G207" i="5"/>
  <c r="H207" i="5" s="1"/>
  <c r="G208" i="5"/>
  <c r="H208" i="5" s="1"/>
  <c r="G209" i="5"/>
  <c r="H209" i="5" s="1"/>
  <c r="G210" i="5"/>
  <c r="H210" i="5" s="1"/>
  <c r="G211" i="5"/>
  <c r="H211" i="5" s="1"/>
  <c r="G212" i="5"/>
  <c r="H212" i="5" s="1"/>
  <c r="G213" i="5"/>
  <c r="H213" i="5" s="1"/>
  <c r="G214" i="5"/>
  <c r="H214" i="5" s="1"/>
  <c r="C206" i="5"/>
  <c r="D206" i="5"/>
  <c r="C194" i="5"/>
  <c r="K194" i="5" s="1"/>
  <c r="C195" i="5"/>
  <c r="K195" i="5" s="1"/>
  <c r="C196" i="5"/>
  <c r="K196" i="5" s="1"/>
  <c r="C197" i="5"/>
  <c r="K197" i="5" s="1"/>
  <c r="C198" i="5"/>
  <c r="K198" i="5" s="1"/>
  <c r="C199" i="5"/>
  <c r="K199" i="5" s="1"/>
  <c r="C200" i="5"/>
  <c r="K200" i="5" s="1"/>
  <c r="C201" i="5"/>
  <c r="K201" i="5" s="1"/>
  <c r="C202" i="5"/>
  <c r="K202" i="5" s="1"/>
  <c r="C203" i="5"/>
  <c r="K203" i="5" s="1"/>
  <c r="C204" i="5"/>
  <c r="K204" i="5" s="1"/>
  <c r="C205" i="5"/>
  <c r="K205" i="5" s="1"/>
  <c r="D194" i="5"/>
  <c r="D195" i="5"/>
  <c r="D196" i="5"/>
  <c r="D197" i="5"/>
  <c r="D198" i="5"/>
  <c r="D199" i="5"/>
  <c r="D200" i="5"/>
  <c r="D201" i="5"/>
  <c r="D202" i="5"/>
  <c r="D203" i="5"/>
  <c r="D204" i="5"/>
  <c r="D205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F194" i="5"/>
  <c r="F195" i="5"/>
  <c r="F196" i="5"/>
  <c r="F197" i="5"/>
  <c r="F198" i="5"/>
  <c r="F199" i="5"/>
  <c r="F200" i="5"/>
  <c r="F201" i="5"/>
  <c r="F202" i="5"/>
  <c r="G202" i="5" s="1"/>
  <c r="H202" i="5" s="1"/>
  <c r="F203" i="5"/>
  <c r="G203" i="5" s="1"/>
  <c r="H203" i="5" s="1"/>
  <c r="F204" i="5"/>
  <c r="G204" i="5" s="1"/>
  <c r="H204" i="5" s="1"/>
  <c r="F205" i="5"/>
  <c r="G205" i="5" s="1"/>
  <c r="H205" i="5" s="1"/>
  <c r="G194" i="5"/>
  <c r="H194" i="5" s="1"/>
  <c r="G195" i="5"/>
  <c r="H195" i="5" s="1"/>
  <c r="G196" i="5"/>
  <c r="H196" i="5" s="1"/>
  <c r="G197" i="5"/>
  <c r="H197" i="5" s="1"/>
  <c r="G198" i="5"/>
  <c r="H198" i="5" s="1"/>
  <c r="G199" i="5"/>
  <c r="H199" i="5" s="1"/>
  <c r="G200" i="5"/>
  <c r="H200" i="5" s="1"/>
  <c r="G201" i="5"/>
  <c r="H201" i="5" s="1"/>
  <c r="C193" i="5"/>
  <c r="E193" i="5" s="1"/>
  <c r="D193" i="5"/>
  <c r="C167" i="5"/>
  <c r="K167" i="5" s="1"/>
  <c r="C168" i="5"/>
  <c r="K168" i="5" s="1"/>
  <c r="C169" i="5"/>
  <c r="K169" i="5" s="1"/>
  <c r="C170" i="5"/>
  <c r="K170" i="5" s="1"/>
  <c r="C171" i="5"/>
  <c r="K171" i="5" s="1"/>
  <c r="C172" i="5"/>
  <c r="K172" i="5" s="1"/>
  <c r="C173" i="5"/>
  <c r="K173" i="5" s="1"/>
  <c r="C174" i="5"/>
  <c r="K174" i="5" s="1"/>
  <c r="C175" i="5"/>
  <c r="K175" i="5" s="1"/>
  <c r="C176" i="5"/>
  <c r="K176" i="5" s="1"/>
  <c r="C177" i="5"/>
  <c r="K177" i="5" s="1"/>
  <c r="C178" i="5"/>
  <c r="K178" i="5" s="1"/>
  <c r="D167" i="5"/>
  <c r="D168" i="5"/>
  <c r="D169" i="5"/>
  <c r="D170" i="5"/>
  <c r="D171" i="5"/>
  <c r="D172" i="5"/>
  <c r="D173" i="5"/>
  <c r="D174" i="5"/>
  <c r="D175" i="5"/>
  <c r="D176" i="5"/>
  <c r="D177" i="5"/>
  <c r="D178" i="5"/>
  <c r="E167" i="5"/>
  <c r="E168" i="5"/>
  <c r="E169" i="5"/>
  <c r="E170" i="5"/>
  <c r="E171" i="5"/>
  <c r="E172" i="5"/>
  <c r="E173" i="5"/>
  <c r="E174" i="5"/>
  <c r="E175" i="5"/>
  <c r="E176" i="5"/>
  <c r="E177" i="5"/>
  <c r="C166" i="5"/>
  <c r="D166" i="5"/>
  <c r="C180" i="5"/>
  <c r="E180" i="5" s="1"/>
  <c r="C181" i="5"/>
  <c r="F181" i="5" s="1"/>
  <c r="G181" i="5" s="1"/>
  <c r="H181" i="5" s="1"/>
  <c r="C182" i="5"/>
  <c r="C183" i="5"/>
  <c r="E183" i="5" s="1"/>
  <c r="C184" i="5"/>
  <c r="E184" i="5" s="1"/>
  <c r="C185" i="5"/>
  <c r="F185" i="5" s="1"/>
  <c r="G185" i="5" s="1"/>
  <c r="H185" i="5" s="1"/>
  <c r="C186" i="5"/>
  <c r="C187" i="5"/>
  <c r="E187" i="5" s="1"/>
  <c r="C188" i="5"/>
  <c r="E188" i="5" s="1"/>
  <c r="C189" i="5"/>
  <c r="F189" i="5" s="1"/>
  <c r="G189" i="5" s="1"/>
  <c r="H189" i="5" s="1"/>
  <c r="C190" i="5"/>
  <c r="C191" i="5"/>
  <c r="E191" i="5" s="1"/>
  <c r="C192" i="5"/>
  <c r="E192" i="5" s="1"/>
  <c r="C179" i="5"/>
  <c r="E179" i="5" s="1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79" i="5"/>
  <c r="DL32" i="1" l="1"/>
  <c r="DL15" i="1"/>
  <c r="DL24" i="1"/>
  <c r="DL16" i="1"/>
  <c r="DL31" i="1"/>
  <c r="DL18" i="1"/>
  <c r="DL29" i="1"/>
  <c r="DL14" i="1"/>
  <c r="DL25" i="1"/>
  <c r="DL13" i="1"/>
  <c r="DL28" i="1"/>
  <c r="DL38" i="1"/>
  <c r="DL12" i="1"/>
  <c r="DL27" i="1"/>
  <c r="DK42" i="1"/>
  <c r="DL9" i="1"/>
  <c r="DL36" i="1"/>
  <c r="DL23" i="1"/>
  <c r="DL7" i="1"/>
  <c r="DL22" i="1"/>
  <c r="DL37" i="1"/>
  <c r="DL39" i="1"/>
  <c r="CX51" i="1"/>
  <c r="CX52" i="1"/>
  <c r="CX42" i="1"/>
  <c r="CX39" i="1"/>
  <c r="CX38" i="1"/>
  <c r="CX43" i="1"/>
  <c r="CX35" i="1"/>
  <c r="CX37" i="1"/>
  <c r="CX36" i="1"/>
  <c r="CX41" i="1"/>
  <c r="CX40" i="1"/>
  <c r="CK51" i="1"/>
  <c r="CK50" i="1"/>
  <c r="CK49" i="1"/>
  <c r="CK42" i="1"/>
  <c r="CK41" i="1"/>
  <c r="CK44" i="1"/>
  <c r="CK39" i="1"/>
  <c r="CK43" i="1"/>
  <c r="CK40" i="1"/>
  <c r="CK38" i="1"/>
  <c r="BK41" i="1"/>
  <c r="BK34" i="1"/>
  <c r="BK39" i="1"/>
  <c r="BK40" i="1"/>
  <c r="BK42" i="1"/>
  <c r="BK37" i="1"/>
  <c r="BK36" i="1"/>
  <c r="BK44" i="1"/>
  <c r="BK38" i="1"/>
  <c r="BK43" i="1"/>
  <c r="BK35" i="1"/>
  <c r="AX50" i="1"/>
  <c r="AX40" i="1"/>
  <c r="AX39" i="1"/>
  <c r="AX37" i="1"/>
  <c r="AX36" i="1"/>
  <c r="AX41" i="1"/>
  <c r="AX38" i="1"/>
  <c r="AX43" i="1"/>
  <c r="AX42" i="1"/>
  <c r="AX44" i="1"/>
  <c r="AX32" i="1"/>
  <c r="AX33" i="1"/>
  <c r="AX25" i="1"/>
  <c r="AX28" i="1"/>
  <c r="AX29" i="1"/>
  <c r="AX27" i="1"/>
  <c r="AX30" i="1"/>
  <c r="AX31" i="1"/>
  <c r="AX34" i="1"/>
  <c r="AX26" i="1"/>
  <c r="AK38" i="1"/>
  <c r="AK40" i="1"/>
  <c r="AK37" i="1"/>
  <c r="AK34" i="1"/>
  <c r="AK41" i="1"/>
  <c r="AK42" i="1"/>
  <c r="AK44" i="1"/>
  <c r="AK39" i="1"/>
  <c r="AK36" i="1"/>
  <c r="AK35" i="1"/>
  <c r="AK43" i="1"/>
  <c r="X39" i="1"/>
  <c r="X37" i="1"/>
  <c r="X40" i="1"/>
  <c r="X43" i="1"/>
  <c r="X35" i="1"/>
  <c r="X38" i="1"/>
  <c r="X42" i="1"/>
  <c r="X41" i="1"/>
  <c r="X44" i="1"/>
  <c r="X36" i="1"/>
  <c r="L46" i="1"/>
  <c r="L49" i="1"/>
  <c r="L18" i="1"/>
  <c r="L9" i="1"/>
  <c r="L16" i="1"/>
  <c r="L26" i="1"/>
  <c r="L23" i="1"/>
  <c r="L27" i="1"/>
  <c r="L17" i="1"/>
  <c r="L7" i="1"/>
  <c r="L14" i="1"/>
  <c r="L11" i="1"/>
  <c r="L42" i="1"/>
  <c r="L32" i="1"/>
  <c r="L30" i="1"/>
  <c r="L19" i="1"/>
  <c r="L41" i="1"/>
  <c r="L40" i="1"/>
  <c r="L54" i="1"/>
  <c r="L22" i="1"/>
  <c r="L10" i="1"/>
  <c r="L21" i="1"/>
  <c r="L20" i="1"/>
  <c r="L29" i="1"/>
  <c r="L34" i="1"/>
  <c r="L13" i="1"/>
  <c r="L53" i="1"/>
  <c r="L50" i="1"/>
  <c r="L45" i="1"/>
  <c r="L36" i="1"/>
  <c r="L33" i="1"/>
  <c r="L24" i="1"/>
  <c r="L51" i="1"/>
  <c r="L8" i="1"/>
  <c r="L48" i="1"/>
  <c r="K55" i="1"/>
  <c r="L43" i="1"/>
  <c r="L52" i="1"/>
  <c r="L6" i="1"/>
  <c r="L31" i="1"/>
  <c r="L15" i="1"/>
  <c r="L38" i="1"/>
  <c r="L44" i="1"/>
  <c r="L35" i="1"/>
  <c r="L47" i="1"/>
  <c r="L28" i="1"/>
  <c r="L25" i="1"/>
  <c r="L39" i="1"/>
  <c r="L37" i="1"/>
  <c r="L12" i="1"/>
  <c r="CX47" i="1"/>
  <c r="CX12" i="1"/>
  <c r="CX22" i="1"/>
  <c r="CX44" i="1"/>
  <c r="CX7" i="1"/>
  <c r="CX20" i="1"/>
  <c r="CX30" i="1"/>
  <c r="CX49" i="1"/>
  <c r="CX15" i="1"/>
  <c r="CX25" i="1"/>
  <c r="CX24" i="1"/>
  <c r="CX34" i="1"/>
  <c r="CX9" i="1"/>
  <c r="CX19" i="1"/>
  <c r="CX32" i="1"/>
  <c r="CX53" i="1"/>
  <c r="CX17" i="1"/>
  <c r="CX27" i="1"/>
  <c r="CX46" i="1"/>
  <c r="CX8" i="1"/>
  <c r="CX26" i="1"/>
  <c r="CX45" i="1"/>
  <c r="CX21" i="1"/>
  <c r="CX31" i="1"/>
  <c r="CX6" i="1"/>
  <c r="CX16" i="1"/>
  <c r="CX29" i="1"/>
  <c r="CX48" i="1"/>
  <c r="CX14" i="1"/>
  <c r="CX10" i="1"/>
  <c r="CX23" i="1"/>
  <c r="CX33" i="1"/>
  <c r="CX54" i="1"/>
  <c r="CX18" i="1"/>
  <c r="CX28" i="1"/>
  <c r="CX50" i="1"/>
  <c r="CX13" i="1"/>
  <c r="CX5" i="1"/>
  <c r="CY5" i="1" s="1"/>
  <c r="CK26" i="1"/>
  <c r="CK45" i="1"/>
  <c r="CK10" i="1"/>
  <c r="CK23" i="1"/>
  <c r="CK33" i="1"/>
  <c r="CK53" i="1"/>
  <c r="CK18" i="1"/>
  <c r="CK28" i="1"/>
  <c r="CK48" i="1"/>
  <c r="CK13" i="1"/>
  <c r="CK8" i="1"/>
  <c r="CK12" i="1"/>
  <c r="CK22" i="1"/>
  <c r="CK35" i="1"/>
  <c r="CK7" i="1"/>
  <c r="CK20" i="1"/>
  <c r="CK30" i="1"/>
  <c r="CK47" i="1"/>
  <c r="CK15" i="1"/>
  <c r="CK25" i="1"/>
  <c r="CK11" i="1"/>
  <c r="CK24" i="1"/>
  <c r="CK34" i="1"/>
  <c r="CK9" i="1"/>
  <c r="CK19" i="1"/>
  <c r="CK32" i="1"/>
  <c r="CK52" i="1"/>
  <c r="CK17" i="1"/>
  <c r="CK27" i="1"/>
  <c r="CK37" i="1"/>
  <c r="CK36" i="1"/>
  <c r="CK54" i="1"/>
  <c r="CK21" i="1"/>
  <c r="CK31" i="1"/>
  <c r="CK6" i="1"/>
  <c r="CK16" i="1"/>
  <c r="CK29" i="1"/>
  <c r="CK46" i="1"/>
  <c r="CK5" i="1"/>
  <c r="CL5" i="1" s="1"/>
  <c r="BX26" i="1"/>
  <c r="BX38" i="1"/>
  <c r="BX10" i="1"/>
  <c r="BX23" i="1"/>
  <c r="BX33" i="1"/>
  <c r="BX43" i="1"/>
  <c r="BX18" i="1"/>
  <c r="BX28" i="1"/>
  <c r="BX41" i="1"/>
  <c r="BX13" i="1"/>
  <c r="BX5" i="1"/>
  <c r="BX12" i="1"/>
  <c r="BX22" i="1"/>
  <c r="BX35" i="1"/>
  <c r="BX7" i="1"/>
  <c r="BX20" i="1"/>
  <c r="BX30" i="1"/>
  <c r="BX40" i="1"/>
  <c r="BX15" i="1"/>
  <c r="BX25" i="1"/>
  <c r="BX8" i="1"/>
  <c r="BX24" i="1"/>
  <c r="BX34" i="1"/>
  <c r="BX9" i="1"/>
  <c r="BX19" i="1"/>
  <c r="BX32" i="1"/>
  <c r="BX42" i="1"/>
  <c r="BX17" i="1"/>
  <c r="BX27" i="1"/>
  <c r="BX37" i="1"/>
  <c r="BX36" i="1"/>
  <c r="BX21" i="1"/>
  <c r="BX31" i="1"/>
  <c r="BX6" i="1"/>
  <c r="BX16" i="1"/>
  <c r="BX29" i="1"/>
  <c r="BX39" i="1"/>
  <c r="BX14" i="1"/>
  <c r="AX8" i="1"/>
  <c r="AX53" i="1"/>
  <c r="AX18" i="1"/>
  <c r="AX52" i="1"/>
  <c r="AX22" i="1"/>
  <c r="AX17" i="1"/>
  <c r="AX7" i="1"/>
  <c r="AX14" i="1"/>
  <c r="AX45" i="1"/>
  <c r="AX16" i="1"/>
  <c r="AX49" i="1"/>
  <c r="AX15" i="1"/>
  <c r="AX54" i="1"/>
  <c r="AX48" i="1"/>
  <c r="AX19" i="1"/>
  <c r="AX5" i="1"/>
  <c r="AY5" i="1" s="1"/>
  <c r="AX9" i="1"/>
  <c r="AX47" i="1"/>
  <c r="AX23" i="1"/>
  <c r="AX13" i="1"/>
  <c r="AX46" i="1"/>
  <c r="AX12" i="1"/>
  <c r="AX51" i="1"/>
  <c r="AX21" i="1"/>
  <c r="AX6" i="1"/>
  <c r="AX35" i="1"/>
  <c r="AX20" i="1"/>
  <c r="AX10" i="1"/>
  <c r="AX24" i="1"/>
  <c r="X7" i="1"/>
  <c r="X13" i="1"/>
  <c r="X6" i="1"/>
  <c r="X24" i="1"/>
  <c r="X50" i="1"/>
  <c r="X23" i="1"/>
  <c r="X49" i="1"/>
  <c r="X22" i="1"/>
  <c r="X48" i="1"/>
  <c r="X25" i="1"/>
  <c r="X51" i="1"/>
  <c r="X8" i="1"/>
  <c r="X12" i="1"/>
  <c r="X28" i="1"/>
  <c r="X54" i="1"/>
  <c r="X27" i="1"/>
  <c r="X53" i="1"/>
  <c r="X26" i="1"/>
  <c r="X52" i="1"/>
  <c r="X29" i="1"/>
  <c r="X10" i="1"/>
  <c r="X11" i="1"/>
  <c r="X16" i="1"/>
  <c r="X32" i="1"/>
  <c r="X15" i="1"/>
  <c r="X31" i="1"/>
  <c r="X14" i="1"/>
  <c r="X30" i="1"/>
  <c r="X17" i="1"/>
  <c r="X33" i="1"/>
  <c r="X5" i="1"/>
  <c r="Y5" i="1" s="1"/>
  <c r="X20" i="1"/>
  <c r="X46" i="1"/>
  <c r="X19" i="1"/>
  <c r="X45" i="1"/>
  <c r="X18" i="1"/>
  <c r="X34" i="1"/>
  <c r="X21" i="1"/>
  <c r="X47" i="1"/>
  <c r="BK7" i="1"/>
  <c r="BK11" i="1"/>
  <c r="BK27" i="1"/>
  <c r="BK54" i="1"/>
  <c r="BK22" i="1"/>
  <c r="BK49" i="1"/>
  <c r="BK17" i="1"/>
  <c r="BK33" i="1"/>
  <c r="BK16" i="1"/>
  <c r="BK32" i="1"/>
  <c r="BK8" i="1"/>
  <c r="BK15" i="1"/>
  <c r="BK31" i="1"/>
  <c r="BK10" i="1"/>
  <c r="BK26" i="1"/>
  <c r="BK53" i="1"/>
  <c r="BK21" i="1"/>
  <c r="BK48" i="1"/>
  <c r="BK20" i="1"/>
  <c r="BK47" i="1"/>
  <c r="BK5" i="1"/>
  <c r="BL5" i="1" s="1"/>
  <c r="BK19" i="1"/>
  <c r="BK46" i="1"/>
  <c r="BK14" i="1"/>
  <c r="BK30" i="1"/>
  <c r="BK9" i="1"/>
  <c r="BK25" i="1"/>
  <c r="BK52" i="1"/>
  <c r="BK24" i="1"/>
  <c r="BK51" i="1"/>
  <c r="BK6" i="1"/>
  <c r="BK23" i="1"/>
  <c r="BK50" i="1"/>
  <c r="BK18" i="1"/>
  <c r="BK45" i="1"/>
  <c r="BK13" i="1"/>
  <c r="BK29" i="1"/>
  <c r="BK12" i="1"/>
  <c r="BK28" i="1"/>
  <c r="AK5" i="1"/>
  <c r="AK23" i="1"/>
  <c r="AK50" i="1"/>
  <c r="AK18" i="1"/>
  <c r="AK45" i="1"/>
  <c r="AK13" i="1"/>
  <c r="AK29" i="1"/>
  <c r="AK12" i="1"/>
  <c r="AK28" i="1"/>
  <c r="AK11" i="1"/>
  <c r="AK27" i="1"/>
  <c r="AK54" i="1"/>
  <c r="AK22" i="1"/>
  <c r="AK49" i="1"/>
  <c r="AK17" i="1"/>
  <c r="AK33" i="1"/>
  <c r="AK16" i="1"/>
  <c r="AK32" i="1"/>
  <c r="AK8" i="1"/>
  <c r="AK15" i="1"/>
  <c r="AK31" i="1"/>
  <c r="AK10" i="1"/>
  <c r="AK26" i="1"/>
  <c r="AK53" i="1"/>
  <c r="AK21" i="1"/>
  <c r="AK48" i="1"/>
  <c r="AK20" i="1"/>
  <c r="AK47" i="1"/>
  <c r="AK19" i="1"/>
  <c r="AK46" i="1"/>
  <c r="AK14" i="1"/>
  <c r="AK30" i="1"/>
  <c r="AK9" i="1"/>
  <c r="AK25" i="1"/>
  <c r="AK52" i="1"/>
  <c r="AK24" i="1"/>
  <c r="AK51" i="1"/>
  <c r="E112" i="5"/>
  <c r="I191" i="5"/>
  <c r="J191" i="5"/>
  <c r="I183" i="5"/>
  <c r="J183" i="5"/>
  <c r="I177" i="5"/>
  <c r="J177" i="5"/>
  <c r="I169" i="5"/>
  <c r="J169" i="5"/>
  <c r="I198" i="5"/>
  <c r="J198" i="5"/>
  <c r="I213" i="5"/>
  <c r="J213" i="5"/>
  <c r="I209" i="5"/>
  <c r="J209" i="5"/>
  <c r="I159" i="5"/>
  <c r="J159" i="5"/>
  <c r="I151" i="5"/>
  <c r="J151" i="5"/>
  <c r="I139" i="5"/>
  <c r="J139" i="5"/>
  <c r="I190" i="5"/>
  <c r="J190" i="5"/>
  <c r="I186" i="5"/>
  <c r="J186" i="5"/>
  <c r="I182" i="5"/>
  <c r="J182" i="5"/>
  <c r="I176" i="5"/>
  <c r="J176" i="5"/>
  <c r="I172" i="5"/>
  <c r="J172" i="5"/>
  <c r="I168" i="5"/>
  <c r="J168" i="5"/>
  <c r="I205" i="5"/>
  <c r="J205" i="5"/>
  <c r="I201" i="5"/>
  <c r="J201" i="5"/>
  <c r="I197" i="5"/>
  <c r="J197" i="5"/>
  <c r="I206" i="5"/>
  <c r="J206" i="5"/>
  <c r="I216" i="5"/>
  <c r="J216" i="5"/>
  <c r="I212" i="5"/>
  <c r="J212" i="5"/>
  <c r="I208" i="5"/>
  <c r="J208" i="5"/>
  <c r="I162" i="5"/>
  <c r="J162" i="5"/>
  <c r="I158" i="5"/>
  <c r="J158" i="5"/>
  <c r="I154" i="5"/>
  <c r="J154" i="5"/>
  <c r="I150" i="5"/>
  <c r="J150" i="5"/>
  <c r="I146" i="5"/>
  <c r="J146" i="5"/>
  <c r="I142" i="5"/>
  <c r="J142" i="5"/>
  <c r="I138" i="5"/>
  <c r="J138" i="5"/>
  <c r="I134" i="5"/>
  <c r="J134" i="5"/>
  <c r="I130" i="5"/>
  <c r="J130" i="5"/>
  <c r="I123" i="5"/>
  <c r="J123" i="5"/>
  <c r="I119" i="5"/>
  <c r="J119" i="5"/>
  <c r="I3" i="5"/>
  <c r="J3" i="5"/>
  <c r="I42" i="5"/>
  <c r="J42" i="5"/>
  <c r="I38" i="5"/>
  <c r="J38" i="5"/>
  <c r="I34" i="5"/>
  <c r="J34" i="5"/>
  <c r="I30" i="5"/>
  <c r="J30" i="5"/>
  <c r="I26" i="5"/>
  <c r="J26" i="5"/>
  <c r="I22" i="5"/>
  <c r="J22" i="5"/>
  <c r="I18" i="5"/>
  <c r="J18" i="5"/>
  <c r="I14" i="5"/>
  <c r="J14" i="5"/>
  <c r="I10" i="5"/>
  <c r="J10" i="5"/>
  <c r="I6" i="5"/>
  <c r="J6" i="5"/>
  <c r="I79" i="5"/>
  <c r="J79" i="5"/>
  <c r="I75" i="5"/>
  <c r="J75" i="5"/>
  <c r="I71" i="5"/>
  <c r="J71" i="5"/>
  <c r="I67" i="5"/>
  <c r="J67" i="5"/>
  <c r="I63" i="5"/>
  <c r="J63" i="5"/>
  <c r="I59" i="5"/>
  <c r="J59" i="5"/>
  <c r="I55" i="5"/>
  <c r="J55" i="5"/>
  <c r="I51" i="5"/>
  <c r="J51" i="5"/>
  <c r="I47" i="5"/>
  <c r="J47" i="5"/>
  <c r="I113" i="5"/>
  <c r="J113" i="5"/>
  <c r="I109" i="5"/>
  <c r="J109" i="5"/>
  <c r="I105" i="5"/>
  <c r="J105" i="5"/>
  <c r="I101" i="5"/>
  <c r="J101" i="5"/>
  <c r="I97" i="5"/>
  <c r="J97" i="5"/>
  <c r="I93" i="5"/>
  <c r="J93" i="5"/>
  <c r="I89" i="5"/>
  <c r="J89" i="5"/>
  <c r="I85" i="5"/>
  <c r="J85" i="5"/>
  <c r="I179" i="5"/>
  <c r="J179" i="5"/>
  <c r="I189" i="5"/>
  <c r="J189" i="5"/>
  <c r="I185" i="5"/>
  <c r="J185" i="5"/>
  <c r="I181" i="5"/>
  <c r="J181" i="5"/>
  <c r="I166" i="5"/>
  <c r="J166" i="5"/>
  <c r="I175" i="5"/>
  <c r="J175" i="5"/>
  <c r="I171" i="5"/>
  <c r="J171" i="5"/>
  <c r="I167" i="5"/>
  <c r="J167" i="5"/>
  <c r="I204" i="5"/>
  <c r="J204" i="5"/>
  <c r="I200" i="5"/>
  <c r="J200" i="5"/>
  <c r="I196" i="5"/>
  <c r="J196" i="5"/>
  <c r="I215" i="5"/>
  <c r="J215" i="5"/>
  <c r="I211" i="5"/>
  <c r="J211" i="5"/>
  <c r="I207" i="5"/>
  <c r="J207" i="5"/>
  <c r="I165" i="5"/>
  <c r="J165" i="5"/>
  <c r="I161" i="5"/>
  <c r="J161" i="5"/>
  <c r="I157" i="5"/>
  <c r="J157" i="5"/>
  <c r="I153" i="5"/>
  <c r="J153" i="5"/>
  <c r="I149" i="5"/>
  <c r="J149" i="5"/>
  <c r="I145" i="5"/>
  <c r="J145" i="5"/>
  <c r="I141" i="5"/>
  <c r="J141" i="5"/>
  <c r="I137" i="5"/>
  <c r="J137" i="5"/>
  <c r="I133" i="5"/>
  <c r="J133" i="5"/>
  <c r="I129" i="5"/>
  <c r="J129" i="5"/>
  <c r="I122" i="5"/>
  <c r="J122" i="5"/>
  <c r="I41" i="5"/>
  <c r="J41" i="5"/>
  <c r="I37" i="5"/>
  <c r="J37" i="5"/>
  <c r="I33" i="5"/>
  <c r="J33" i="5"/>
  <c r="I29" i="5"/>
  <c r="J29" i="5"/>
  <c r="I25" i="5"/>
  <c r="J25" i="5"/>
  <c r="I21" i="5"/>
  <c r="J21" i="5"/>
  <c r="I17" i="5"/>
  <c r="J17" i="5"/>
  <c r="I13" i="5"/>
  <c r="J13" i="5"/>
  <c r="I9" i="5"/>
  <c r="J9" i="5"/>
  <c r="I5" i="5"/>
  <c r="J5" i="5"/>
  <c r="I78" i="5"/>
  <c r="J78" i="5"/>
  <c r="I74" i="5"/>
  <c r="J74" i="5"/>
  <c r="I70" i="5"/>
  <c r="J70" i="5"/>
  <c r="I66" i="5"/>
  <c r="J66" i="5"/>
  <c r="I62" i="5"/>
  <c r="J62" i="5"/>
  <c r="I58" i="5"/>
  <c r="J58" i="5"/>
  <c r="I54" i="5"/>
  <c r="J54" i="5"/>
  <c r="I50" i="5"/>
  <c r="J50" i="5"/>
  <c r="I46" i="5"/>
  <c r="J46" i="5"/>
  <c r="E111" i="5"/>
  <c r="I112" i="5"/>
  <c r="J112" i="5"/>
  <c r="I108" i="5"/>
  <c r="J108" i="5"/>
  <c r="I104" i="5"/>
  <c r="J104" i="5"/>
  <c r="I100" i="5"/>
  <c r="J100" i="5"/>
  <c r="I96" i="5"/>
  <c r="J96" i="5"/>
  <c r="I92" i="5"/>
  <c r="J92" i="5"/>
  <c r="I88" i="5"/>
  <c r="J88" i="5"/>
  <c r="I84" i="5"/>
  <c r="J84" i="5"/>
  <c r="I192" i="5"/>
  <c r="J192" i="5"/>
  <c r="I188" i="5"/>
  <c r="J188" i="5"/>
  <c r="I184" i="5"/>
  <c r="J184" i="5"/>
  <c r="I180" i="5"/>
  <c r="J180" i="5"/>
  <c r="I178" i="5"/>
  <c r="J178" i="5"/>
  <c r="I174" i="5"/>
  <c r="J174" i="5"/>
  <c r="I170" i="5"/>
  <c r="J170" i="5"/>
  <c r="I193" i="5"/>
  <c r="J193" i="5"/>
  <c r="I203" i="5"/>
  <c r="J203" i="5"/>
  <c r="I199" i="5"/>
  <c r="J199" i="5"/>
  <c r="I195" i="5"/>
  <c r="J195" i="5"/>
  <c r="I218" i="5"/>
  <c r="J218" i="5"/>
  <c r="I214" i="5"/>
  <c r="J214" i="5"/>
  <c r="I210" i="5"/>
  <c r="J210" i="5"/>
  <c r="I126" i="5"/>
  <c r="J126" i="5"/>
  <c r="I164" i="5"/>
  <c r="J164" i="5"/>
  <c r="I160" i="5"/>
  <c r="J160" i="5"/>
  <c r="I156" i="5"/>
  <c r="J156" i="5"/>
  <c r="I152" i="5"/>
  <c r="J152" i="5"/>
  <c r="I148" i="5"/>
  <c r="J148" i="5"/>
  <c r="I144" i="5"/>
  <c r="J144" i="5"/>
  <c r="I140" i="5"/>
  <c r="J140" i="5"/>
  <c r="I136" i="5"/>
  <c r="J136" i="5"/>
  <c r="I132" i="5"/>
  <c r="J132" i="5"/>
  <c r="I128" i="5"/>
  <c r="J128" i="5"/>
  <c r="I125" i="5"/>
  <c r="J125" i="5"/>
  <c r="I121" i="5"/>
  <c r="J121" i="5"/>
  <c r="I117" i="5"/>
  <c r="J117" i="5"/>
  <c r="I40" i="5"/>
  <c r="J40" i="5"/>
  <c r="I36" i="5"/>
  <c r="J36" i="5"/>
  <c r="I32" i="5"/>
  <c r="J32" i="5"/>
  <c r="I28" i="5"/>
  <c r="J28" i="5"/>
  <c r="I24" i="5"/>
  <c r="J24" i="5"/>
  <c r="I20" i="5"/>
  <c r="J20" i="5"/>
  <c r="I16" i="5"/>
  <c r="J16" i="5"/>
  <c r="I12" i="5"/>
  <c r="J12" i="5"/>
  <c r="I8" i="5"/>
  <c r="J8" i="5"/>
  <c r="I4" i="5"/>
  <c r="J4" i="5"/>
  <c r="I43" i="5"/>
  <c r="J43" i="5"/>
  <c r="I81" i="5"/>
  <c r="J81" i="5"/>
  <c r="I77" i="5"/>
  <c r="J77" i="5"/>
  <c r="I73" i="5"/>
  <c r="J73" i="5"/>
  <c r="I69" i="5"/>
  <c r="J69" i="5"/>
  <c r="I65" i="5"/>
  <c r="J65" i="5"/>
  <c r="I61" i="5"/>
  <c r="J61" i="5"/>
  <c r="I57" i="5"/>
  <c r="J57" i="5"/>
  <c r="I53" i="5"/>
  <c r="J53" i="5"/>
  <c r="I49" i="5"/>
  <c r="J49" i="5"/>
  <c r="I45" i="5"/>
  <c r="J45" i="5"/>
  <c r="I82" i="5"/>
  <c r="J82" i="5"/>
  <c r="I115" i="5"/>
  <c r="J115" i="5"/>
  <c r="I111" i="5"/>
  <c r="J111" i="5"/>
  <c r="I107" i="5"/>
  <c r="J107" i="5"/>
  <c r="I103" i="5"/>
  <c r="J103" i="5"/>
  <c r="I99" i="5"/>
  <c r="J99" i="5"/>
  <c r="I95" i="5"/>
  <c r="J95" i="5"/>
  <c r="I91" i="5"/>
  <c r="J91" i="5"/>
  <c r="I87" i="5"/>
  <c r="J87" i="5"/>
  <c r="I83" i="5"/>
  <c r="J83" i="5"/>
  <c r="I187" i="5"/>
  <c r="J187" i="5"/>
  <c r="I173" i="5"/>
  <c r="J173" i="5"/>
  <c r="I202" i="5"/>
  <c r="J202" i="5"/>
  <c r="I194" i="5"/>
  <c r="J194" i="5"/>
  <c r="I217" i="5"/>
  <c r="J217" i="5"/>
  <c r="I163" i="5"/>
  <c r="J163" i="5"/>
  <c r="I155" i="5"/>
  <c r="J155" i="5"/>
  <c r="I147" i="5"/>
  <c r="J147" i="5"/>
  <c r="I143" i="5"/>
  <c r="J143" i="5"/>
  <c r="I135" i="5"/>
  <c r="J135" i="5"/>
  <c r="I131" i="5"/>
  <c r="J131" i="5"/>
  <c r="I127" i="5"/>
  <c r="J127" i="5"/>
  <c r="I116" i="5"/>
  <c r="J116" i="5"/>
  <c r="I124" i="5"/>
  <c r="J124" i="5"/>
  <c r="I120" i="5"/>
  <c r="J120" i="5"/>
  <c r="I39" i="5"/>
  <c r="J39" i="5"/>
  <c r="I35" i="5"/>
  <c r="J35" i="5"/>
  <c r="I31" i="5"/>
  <c r="J31" i="5"/>
  <c r="I27" i="5"/>
  <c r="J27" i="5"/>
  <c r="I23" i="5"/>
  <c r="J23" i="5"/>
  <c r="I19" i="5"/>
  <c r="J19" i="5"/>
  <c r="I15" i="5"/>
  <c r="J15" i="5"/>
  <c r="I11" i="5"/>
  <c r="J11" i="5"/>
  <c r="I7" i="5"/>
  <c r="J7" i="5"/>
  <c r="I80" i="5"/>
  <c r="J80" i="5"/>
  <c r="I76" i="5"/>
  <c r="J76" i="5"/>
  <c r="I72" i="5"/>
  <c r="J72" i="5"/>
  <c r="I68" i="5"/>
  <c r="J68" i="5"/>
  <c r="I64" i="5"/>
  <c r="J64" i="5"/>
  <c r="I60" i="5"/>
  <c r="J60" i="5"/>
  <c r="I56" i="5"/>
  <c r="J56" i="5"/>
  <c r="I52" i="5"/>
  <c r="J52" i="5"/>
  <c r="I48" i="5"/>
  <c r="J48" i="5"/>
  <c r="I44" i="5"/>
  <c r="J44" i="5"/>
  <c r="I114" i="5"/>
  <c r="J114" i="5"/>
  <c r="I110" i="5"/>
  <c r="J110" i="5"/>
  <c r="I106" i="5"/>
  <c r="J106" i="5"/>
  <c r="I102" i="5"/>
  <c r="J102" i="5"/>
  <c r="I98" i="5"/>
  <c r="J98" i="5"/>
  <c r="I94" i="5"/>
  <c r="J94" i="5"/>
  <c r="I90" i="5"/>
  <c r="J90" i="5"/>
  <c r="I86" i="5"/>
  <c r="J86" i="5"/>
  <c r="E104" i="5"/>
  <c r="F103" i="5"/>
  <c r="G103" i="5" s="1"/>
  <c r="H103" i="5" s="1"/>
  <c r="E95" i="5"/>
  <c r="F175" i="5"/>
  <c r="G175" i="5" s="1"/>
  <c r="H175" i="5" s="1"/>
  <c r="F171" i="5"/>
  <c r="G171" i="5" s="1"/>
  <c r="H171" i="5" s="1"/>
  <c r="E88" i="5"/>
  <c r="E96" i="5"/>
  <c r="F167" i="5"/>
  <c r="G167" i="5" s="1"/>
  <c r="H167" i="5" s="1"/>
  <c r="F38" i="5"/>
  <c r="G38" i="5" s="1"/>
  <c r="H38" i="5" s="1"/>
  <c r="F170" i="5"/>
  <c r="G170" i="5" s="1"/>
  <c r="H170" i="5" s="1"/>
  <c r="K91" i="5"/>
  <c r="F174" i="5"/>
  <c r="G174" i="5" s="1"/>
  <c r="H174" i="5" s="1"/>
  <c r="F91" i="5"/>
  <c r="G91" i="5" s="1"/>
  <c r="H91" i="5" s="1"/>
  <c r="K107" i="5"/>
  <c r="F177" i="5"/>
  <c r="G177" i="5" s="1"/>
  <c r="H177" i="5" s="1"/>
  <c r="F173" i="5"/>
  <c r="G173" i="5" s="1"/>
  <c r="H173" i="5" s="1"/>
  <c r="F169" i="5"/>
  <c r="G169" i="5" s="1"/>
  <c r="H169" i="5" s="1"/>
  <c r="F34" i="5"/>
  <c r="G34" i="5" s="1"/>
  <c r="H34" i="5" s="1"/>
  <c r="F115" i="5"/>
  <c r="G115" i="5" s="1"/>
  <c r="H115" i="5" s="1"/>
  <c r="F87" i="5"/>
  <c r="G87" i="5" s="1"/>
  <c r="H87" i="5" s="1"/>
  <c r="E103" i="5"/>
  <c r="E87" i="5"/>
  <c r="F176" i="5"/>
  <c r="G176" i="5" s="1"/>
  <c r="H176" i="5" s="1"/>
  <c r="F172" i="5"/>
  <c r="G172" i="5" s="1"/>
  <c r="H172" i="5" s="1"/>
  <c r="F168" i="5"/>
  <c r="G168" i="5" s="1"/>
  <c r="H168" i="5" s="1"/>
  <c r="E30" i="5"/>
  <c r="F72" i="5"/>
  <c r="G72" i="5" s="1"/>
  <c r="H72" i="5" s="1"/>
  <c r="K148" i="5"/>
  <c r="K135" i="5"/>
  <c r="F61" i="5"/>
  <c r="G61" i="5" s="1"/>
  <c r="H61" i="5" s="1"/>
  <c r="K192" i="5"/>
  <c r="K127" i="5"/>
  <c r="E38" i="5"/>
  <c r="E23" i="5"/>
  <c r="F57" i="5"/>
  <c r="G57" i="5" s="1"/>
  <c r="H57" i="5" s="1"/>
  <c r="K180" i="5"/>
  <c r="K147" i="5"/>
  <c r="F178" i="5"/>
  <c r="G178" i="5" s="1"/>
  <c r="H178" i="5" s="1"/>
  <c r="E178" i="5"/>
  <c r="K159" i="5"/>
  <c r="E27" i="5"/>
  <c r="E35" i="5"/>
  <c r="E11" i="5"/>
  <c r="F73" i="5"/>
  <c r="G73" i="5" s="1"/>
  <c r="H73" i="5" s="1"/>
  <c r="F45" i="5"/>
  <c r="G45" i="5" s="1"/>
  <c r="H45" i="5" s="1"/>
  <c r="K179" i="5"/>
  <c r="K139" i="5"/>
  <c r="K41" i="5"/>
  <c r="K81" i="5"/>
  <c r="K65" i="5"/>
  <c r="K49" i="5"/>
  <c r="F12" i="5"/>
  <c r="G12" i="5" s="1"/>
  <c r="H12" i="5" s="1"/>
  <c r="E31" i="5"/>
  <c r="E19" i="5"/>
  <c r="F69" i="5"/>
  <c r="G69" i="5" s="1"/>
  <c r="H69" i="5" s="1"/>
  <c r="F53" i="5"/>
  <c r="G53" i="5" s="1"/>
  <c r="H53" i="5" s="1"/>
  <c r="F111" i="5"/>
  <c r="G111" i="5" s="1"/>
  <c r="H111" i="5" s="1"/>
  <c r="F99" i="5"/>
  <c r="G99" i="5" s="1"/>
  <c r="H99" i="5" s="1"/>
  <c r="F83" i="5"/>
  <c r="G83" i="5" s="1"/>
  <c r="H83" i="5" s="1"/>
  <c r="E108" i="5"/>
  <c r="E100" i="5"/>
  <c r="E92" i="5"/>
  <c r="E84" i="5"/>
  <c r="K115" i="5"/>
  <c r="K99" i="5"/>
  <c r="K83" i="5"/>
  <c r="K188" i="5"/>
  <c r="K164" i="5"/>
  <c r="K155" i="5"/>
  <c r="K143" i="5"/>
  <c r="K132" i="5"/>
  <c r="K78" i="5"/>
  <c r="K70" i="5"/>
  <c r="K62" i="5"/>
  <c r="K54" i="5"/>
  <c r="K46" i="5"/>
  <c r="K34" i="5"/>
  <c r="K74" i="5"/>
  <c r="K66" i="5"/>
  <c r="K58" i="5"/>
  <c r="K50" i="5"/>
  <c r="K156" i="5"/>
  <c r="E39" i="5"/>
  <c r="E15" i="5"/>
  <c r="F77" i="5"/>
  <c r="G77" i="5" s="1"/>
  <c r="H77" i="5" s="1"/>
  <c r="F107" i="5"/>
  <c r="G107" i="5" s="1"/>
  <c r="H107" i="5" s="1"/>
  <c r="F95" i="5"/>
  <c r="G95" i="5" s="1"/>
  <c r="H95" i="5" s="1"/>
  <c r="K82" i="5"/>
  <c r="K184" i="5"/>
  <c r="K163" i="5"/>
  <c r="K151" i="5"/>
  <c r="K140" i="5"/>
  <c r="K131" i="5"/>
  <c r="E165" i="5"/>
  <c r="K165" i="5"/>
  <c r="E157" i="5"/>
  <c r="K157" i="5"/>
  <c r="E149" i="5"/>
  <c r="K149" i="5"/>
  <c r="E145" i="5"/>
  <c r="K145" i="5"/>
  <c r="E137" i="5"/>
  <c r="K137" i="5"/>
  <c r="E129" i="5"/>
  <c r="K129" i="5"/>
  <c r="K68" i="5"/>
  <c r="F68" i="5"/>
  <c r="G68" i="5" s="1"/>
  <c r="H68" i="5" s="1"/>
  <c r="K52" i="5"/>
  <c r="F52" i="5"/>
  <c r="G52" i="5" s="1"/>
  <c r="H52" i="5" s="1"/>
  <c r="K44" i="5"/>
  <c r="F44" i="5"/>
  <c r="G44" i="5" s="1"/>
  <c r="H44" i="5" s="1"/>
  <c r="F114" i="5"/>
  <c r="G114" i="5" s="1"/>
  <c r="H114" i="5" s="1"/>
  <c r="E114" i="5"/>
  <c r="F106" i="5"/>
  <c r="G106" i="5" s="1"/>
  <c r="H106" i="5" s="1"/>
  <c r="E106" i="5"/>
  <c r="F102" i="5"/>
  <c r="G102" i="5" s="1"/>
  <c r="H102" i="5" s="1"/>
  <c r="E102" i="5"/>
  <c r="F98" i="5"/>
  <c r="G98" i="5" s="1"/>
  <c r="H98" i="5" s="1"/>
  <c r="E98" i="5"/>
  <c r="F94" i="5"/>
  <c r="G94" i="5" s="1"/>
  <c r="H94" i="5" s="1"/>
  <c r="E94" i="5"/>
  <c r="F90" i="5"/>
  <c r="G90" i="5" s="1"/>
  <c r="H90" i="5" s="1"/>
  <c r="E90" i="5"/>
  <c r="F86" i="5"/>
  <c r="G86" i="5" s="1"/>
  <c r="H86" i="5" s="1"/>
  <c r="E86" i="5"/>
  <c r="F190" i="5"/>
  <c r="G190" i="5" s="1"/>
  <c r="H190" i="5" s="1"/>
  <c r="K190" i="5"/>
  <c r="F182" i="5"/>
  <c r="G182" i="5" s="1"/>
  <c r="H182" i="5" s="1"/>
  <c r="K182" i="5"/>
  <c r="E166" i="5"/>
  <c r="K166" i="5"/>
  <c r="E206" i="5"/>
  <c r="K206" i="5"/>
  <c r="F42" i="5"/>
  <c r="G42" i="5" s="1"/>
  <c r="H42" i="5" s="1"/>
  <c r="E42" i="5"/>
  <c r="F18" i="5"/>
  <c r="G18" i="5" s="1"/>
  <c r="H18" i="5" s="1"/>
  <c r="E18" i="5"/>
  <c r="F10" i="5"/>
  <c r="G10" i="5" s="1"/>
  <c r="H10" i="5" s="1"/>
  <c r="E10" i="5"/>
  <c r="E43" i="5"/>
  <c r="K43" i="5"/>
  <c r="F48" i="5"/>
  <c r="G48" i="5" s="1"/>
  <c r="H48" i="5" s="1"/>
  <c r="F75" i="5"/>
  <c r="G75" i="5" s="1"/>
  <c r="H75" i="5" s="1"/>
  <c r="K75" i="5"/>
  <c r="F67" i="5"/>
  <c r="G67" i="5" s="1"/>
  <c r="H67" i="5" s="1"/>
  <c r="K67" i="5"/>
  <c r="F63" i="5"/>
  <c r="G63" i="5" s="1"/>
  <c r="H63" i="5" s="1"/>
  <c r="K63" i="5"/>
  <c r="F55" i="5"/>
  <c r="G55" i="5" s="1"/>
  <c r="H55" i="5" s="1"/>
  <c r="K55" i="5"/>
  <c r="F51" i="5"/>
  <c r="G51" i="5" s="1"/>
  <c r="H51" i="5" s="1"/>
  <c r="K51" i="5"/>
  <c r="F47" i="5"/>
  <c r="G47" i="5" s="1"/>
  <c r="H47" i="5" s="1"/>
  <c r="K47" i="5"/>
  <c r="E113" i="5"/>
  <c r="K113" i="5"/>
  <c r="E105" i="5"/>
  <c r="K105" i="5"/>
  <c r="E97" i="5"/>
  <c r="K97" i="5"/>
  <c r="K30" i="5"/>
  <c r="F33" i="5"/>
  <c r="G33" i="5" s="1"/>
  <c r="H33" i="5" s="1"/>
  <c r="K33" i="5"/>
  <c r="F29" i="5"/>
  <c r="G29" i="5" s="1"/>
  <c r="H29" i="5" s="1"/>
  <c r="K29" i="5"/>
  <c r="F25" i="5"/>
  <c r="G25" i="5" s="1"/>
  <c r="H25" i="5" s="1"/>
  <c r="K25" i="5"/>
  <c r="F21" i="5"/>
  <c r="G21" i="5" s="1"/>
  <c r="H21" i="5" s="1"/>
  <c r="K21" i="5"/>
  <c r="F17" i="5"/>
  <c r="G17" i="5" s="1"/>
  <c r="H17" i="5" s="1"/>
  <c r="K17" i="5"/>
  <c r="F13" i="5"/>
  <c r="G13" i="5" s="1"/>
  <c r="H13" i="5" s="1"/>
  <c r="K13" i="5"/>
  <c r="F9" i="5"/>
  <c r="G9" i="5" s="1"/>
  <c r="H9" i="5" s="1"/>
  <c r="K9" i="5"/>
  <c r="F5" i="5"/>
  <c r="G5" i="5" s="1"/>
  <c r="H5" i="5" s="1"/>
  <c r="K5" i="5"/>
  <c r="F56" i="5"/>
  <c r="G56" i="5" s="1"/>
  <c r="H56" i="5" s="1"/>
  <c r="K160" i="5"/>
  <c r="K152" i="5"/>
  <c r="K144" i="5"/>
  <c r="K136" i="5"/>
  <c r="K128" i="5"/>
  <c r="K120" i="5"/>
  <c r="K10" i="5"/>
  <c r="E161" i="5"/>
  <c r="K161" i="5"/>
  <c r="E153" i="5"/>
  <c r="K153" i="5"/>
  <c r="E141" i="5"/>
  <c r="K141" i="5"/>
  <c r="E133" i="5"/>
  <c r="K133" i="5"/>
  <c r="K76" i="5"/>
  <c r="F76" i="5"/>
  <c r="G76" i="5" s="1"/>
  <c r="H76" i="5" s="1"/>
  <c r="K60" i="5"/>
  <c r="F60" i="5"/>
  <c r="G60" i="5" s="1"/>
  <c r="H60" i="5" s="1"/>
  <c r="F110" i="5"/>
  <c r="G110" i="5" s="1"/>
  <c r="H110" i="5" s="1"/>
  <c r="E110" i="5"/>
  <c r="K124" i="5"/>
  <c r="K116" i="5"/>
  <c r="F186" i="5"/>
  <c r="G186" i="5" s="1"/>
  <c r="H186" i="5" s="1"/>
  <c r="K186" i="5"/>
  <c r="E3" i="5"/>
  <c r="K3" i="5"/>
  <c r="E26" i="5"/>
  <c r="F26" i="5"/>
  <c r="G26" i="5" s="1"/>
  <c r="H26" i="5" s="1"/>
  <c r="F80" i="5"/>
  <c r="G80" i="5" s="1"/>
  <c r="H80" i="5" s="1"/>
  <c r="F79" i="5"/>
  <c r="G79" i="5" s="1"/>
  <c r="H79" i="5" s="1"/>
  <c r="K79" i="5"/>
  <c r="F71" i="5"/>
  <c r="G71" i="5" s="1"/>
  <c r="H71" i="5" s="1"/>
  <c r="K71" i="5"/>
  <c r="F59" i="5"/>
  <c r="G59" i="5" s="1"/>
  <c r="H59" i="5" s="1"/>
  <c r="K59" i="5"/>
  <c r="E109" i="5"/>
  <c r="F109" i="5"/>
  <c r="G109" i="5" s="1"/>
  <c r="H109" i="5" s="1"/>
  <c r="K109" i="5"/>
  <c r="E101" i="5"/>
  <c r="F101" i="5"/>
  <c r="G101" i="5" s="1"/>
  <c r="H101" i="5" s="1"/>
  <c r="K101" i="5"/>
  <c r="E93" i="5"/>
  <c r="F93" i="5"/>
  <c r="G93" i="5" s="1"/>
  <c r="H93" i="5" s="1"/>
  <c r="K93" i="5"/>
  <c r="E89" i="5"/>
  <c r="K89" i="5"/>
  <c r="E85" i="5"/>
  <c r="F85" i="5"/>
  <c r="G85" i="5" s="1"/>
  <c r="H85" i="5" s="1"/>
  <c r="K85" i="5"/>
  <c r="K114" i="5"/>
  <c r="K106" i="5"/>
  <c r="K98" i="5"/>
  <c r="K90" i="5"/>
  <c r="K187" i="5"/>
  <c r="K123" i="5"/>
  <c r="K14" i="5"/>
  <c r="E14" i="5"/>
  <c r="F6" i="5"/>
  <c r="G6" i="5" s="1"/>
  <c r="H6" i="5" s="1"/>
  <c r="E22" i="5"/>
  <c r="F64" i="5"/>
  <c r="G64" i="5" s="1"/>
  <c r="H64" i="5" s="1"/>
  <c r="F97" i="5"/>
  <c r="G97" i="5" s="1"/>
  <c r="H97" i="5" s="1"/>
  <c r="K110" i="5"/>
  <c r="K102" i="5"/>
  <c r="K94" i="5"/>
  <c r="K86" i="5"/>
  <c r="K191" i="5"/>
  <c r="K183" i="5"/>
  <c r="K119" i="5"/>
  <c r="K37" i="5"/>
  <c r="K22" i="5"/>
  <c r="K162" i="5"/>
  <c r="K158" i="5"/>
  <c r="K154" i="5"/>
  <c r="K150" i="5"/>
  <c r="K146" i="5"/>
  <c r="K142" i="5"/>
  <c r="K138" i="5"/>
  <c r="K134" i="5"/>
  <c r="K130" i="5"/>
  <c r="K126" i="5"/>
  <c r="K122" i="5"/>
  <c r="K118" i="5"/>
  <c r="K40" i="5"/>
  <c r="K36" i="5"/>
  <c r="K32" i="5"/>
  <c r="K28" i="5"/>
  <c r="K24" i="5"/>
  <c r="K20" i="5"/>
  <c r="K16" i="5"/>
  <c r="K12" i="5"/>
  <c r="K8" i="5"/>
  <c r="K4" i="5"/>
  <c r="K112" i="5"/>
  <c r="K108" i="5"/>
  <c r="K104" i="5"/>
  <c r="K100" i="5"/>
  <c r="K96" i="5"/>
  <c r="K92" i="5"/>
  <c r="K88" i="5"/>
  <c r="K84" i="5"/>
  <c r="K193" i="5"/>
  <c r="K189" i="5"/>
  <c r="K185" i="5"/>
  <c r="K181" i="5"/>
  <c r="K125" i="5"/>
  <c r="K121" i="5"/>
  <c r="K117" i="5"/>
  <c r="K39" i="5"/>
  <c r="K35" i="5"/>
  <c r="K31" i="5"/>
  <c r="K27" i="5"/>
  <c r="K23" i="5"/>
  <c r="K19" i="5"/>
  <c r="K15" i="5"/>
  <c r="K11" i="5"/>
  <c r="K7" i="5"/>
  <c r="F82" i="5"/>
  <c r="G82" i="5" s="1"/>
  <c r="F36" i="5"/>
  <c r="G36" i="5" s="1"/>
  <c r="H36" i="5" s="1"/>
  <c r="F4" i="5"/>
  <c r="G4" i="5" s="1"/>
  <c r="H4" i="5" s="1"/>
  <c r="F121" i="5"/>
  <c r="G121" i="5" s="1"/>
  <c r="H121" i="5" s="1"/>
  <c r="F20" i="5"/>
  <c r="G20" i="5" s="1"/>
  <c r="H20" i="5" s="1"/>
  <c r="E156" i="5"/>
  <c r="F28" i="5"/>
  <c r="G28" i="5" s="1"/>
  <c r="H28" i="5" s="1"/>
  <c r="E163" i="5"/>
  <c r="E122" i="5"/>
  <c r="F3" i="5"/>
  <c r="G3" i="5" s="1"/>
  <c r="H3" i="5" s="1"/>
  <c r="F40" i="5"/>
  <c r="G40" i="5" s="1"/>
  <c r="H40" i="5" s="1"/>
  <c r="F32" i="5"/>
  <c r="G32" i="5" s="1"/>
  <c r="H32" i="5" s="1"/>
  <c r="F24" i="5"/>
  <c r="G24" i="5" s="1"/>
  <c r="H24" i="5" s="1"/>
  <c r="F16" i="5"/>
  <c r="G16" i="5" s="1"/>
  <c r="H16" i="5" s="1"/>
  <c r="F8" i="5"/>
  <c r="G8" i="5" s="1"/>
  <c r="H8" i="5" s="1"/>
  <c r="E41" i="5"/>
  <c r="E37" i="5"/>
  <c r="E33" i="5"/>
  <c r="E29" i="5"/>
  <c r="E25" i="5"/>
  <c r="E21" i="5"/>
  <c r="E17" i="5"/>
  <c r="E13" i="5"/>
  <c r="E9" i="5"/>
  <c r="E5" i="5"/>
  <c r="F43" i="5"/>
  <c r="G43" i="5" s="1"/>
  <c r="H43" i="5" s="1"/>
  <c r="E140" i="5"/>
  <c r="F133" i="5"/>
  <c r="G133" i="5" s="1"/>
  <c r="H133" i="5" s="1"/>
  <c r="F161" i="5"/>
  <c r="G161" i="5" s="1"/>
  <c r="H161" i="5" s="1"/>
  <c r="F118" i="5"/>
  <c r="G118" i="5" s="1"/>
  <c r="H118" i="5" s="1"/>
  <c r="F125" i="5"/>
  <c r="G125" i="5" s="1"/>
  <c r="H125" i="5" s="1"/>
  <c r="F117" i="5"/>
  <c r="G117" i="5" s="1"/>
  <c r="H117" i="5" s="1"/>
  <c r="F135" i="5"/>
  <c r="G135" i="5" s="1"/>
  <c r="H135" i="5" s="1"/>
  <c r="E139" i="5"/>
  <c r="F124" i="5"/>
  <c r="G124" i="5" s="1"/>
  <c r="H124" i="5" s="1"/>
  <c r="F120" i="5"/>
  <c r="G120" i="5" s="1"/>
  <c r="H120" i="5" s="1"/>
  <c r="F151" i="5"/>
  <c r="G151" i="5" s="1"/>
  <c r="H151" i="5" s="1"/>
  <c r="E155" i="5"/>
  <c r="E131" i="5"/>
  <c r="F123" i="5"/>
  <c r="G123" i="5" s="1"/>
  <c r="H123" i="5" s="1"/>
  <c r="F119" i="5"/>
  <c r="G119" i="5" s="1"/>
  <c r="H119" i="5" s="1"/>
  <c r="F147" i="5"/>
  <c r="G147" i="5" s="1"/>
  <c r="H147" i="5" s="1"/>
  <c r="F157" i="5"/>
  <c r="G157" i="5" s="1"/>
  <c r="H157" i="5" s="1"/>
  <c r="F137" i="5"/>
  <c r="G137" i="5" s="1"/>
  <c r="H137" i="5" s="1"/>
  <c r="F165" i="5"/>
  <c r="G165" i="5" s="1"/>
  <c r="H165" i="5" s="1"/>
  <c r="F153" i="5"/>
  <c r="G153" i="5" s="1"/>
  <c r="H153" i="5" s="1"/>
  <c r="F136" i="5"/>
  <c r="G136" i="5" s="1"/>
  <c r="H136" i="5" s="1"/>
  <c r="F129" i="5"/>
  <c r="G129" i="5" s="1"/>
  <c r="H129" i="5" s="1"/>
  <c r="F116" i="5"/>
  <c r="G116" i="5" s="1"/>
  <c r="H116" i="5" s="1"/>
  <c r="F149" i="5"/>
  <c r="G149" i="5" s="1"/>
  <c r="H149" i="5" s="1"/>
  <c r="F152" i="5"/>
  <c r="G152" i="5" s="1"/>
  <c r="H152" i="5" s="1"/>
  <c r="F145" i="5"/>
  <c r="G145" i="5" s="1"/>
  <c r="H145" i="5" s="1"/>
  <c r="E164" i="5"/>
  <c r="E148" i="5"/>
  <c r="E132" i="5"/>
  <c r="F160" i="5"/>
  <c r="G160" i="5" s="1"/>
  <c r="H160" i="5" s="1"/>
  <c r="F144" i="5"/>
  <c r="G144" i="5" s="1"/>
  <c r="H144" i="5" s="1"/>
  <c r="F128" i="5"/>
  <c r="G128" i="5" s="1"/>
  <c r="H128" i="5" s="1"/>
  <c r="F159" i="5"/>
  <c r="G159" i="5" s="1"/>
  <c r="H159" i="5" s="1"/>
  <c r="F143" i="5"/>
  <c r="G143" i="5" s="1"/>
  <c r="H143" i="5" s="1"/>
  <c r="F127" i="5"/>
  <c r="G127" i="5" s="1"/>
  <c r="H127" i="5" s="1"/>
  <c r="F126" i="5"/>
  <c r="G126" i="5" s="1"/>
  <c r="H126" i="5" s="1"/>
  <c r="E162" i="5"/>
  <c r="E158" i="5"/>
  <c r="E154" i="5"/>
  <c r="E150" i="5"/>
  <c r="E146" i="5"/>
  <c r="E142" i="5"/>
  <c r="E138" i="5"/>
  <c r="E134" i="5"/>
  <c r="E130" i="5"/>
  <c r="F206" i="5"/>
  <c r="G206" i="5" s="1"/>
  <c r="H206" i="5" s="1"/>
  <c r="F193" i="5"/>
  <c r="G193" i="5" s="1"/>
  <c r="F187" i="5"/>
  <c r="G187" i="5" s="1"/>
  <c r="H187" i="5" s="1"/>
  <c r="F166" i="5"/>
  <c r="G166" i="5" s="1"/>
  <c r="H166" i="5" s="1"/>
  <c r="E182" i="5"/>
  <c r="F192" i="5"/>
  <c r="G192" i="5" s="1"/>
  <c r="H192" i="5" s="1"/>
  <c r="F184" i="5"/>
  <c r="G184" i="5" s="1"/>
  <c r="H184" i="5" s="1"/>
  <c r="E190" i="5"/>
  <c r="F191" i="5"/>
  <c r="G191" i="5" s="1"/>
  <c r="H191" i="5" s="1"/>
  <c r="F183" i="5"/>
  <c r="G183" i="5" s="1"/>
  <c r="H183" i="5" s="1"/>
  <c r="E186" i="5"/>
  <c r="F188" i="5"/>
  <c r="G188" i="5" s="1"/>
  <c r="H188" i="5" s="1"/>
  <c r="F180" i="5"/>
  <c r="G180" i="5" s="1"/>
  <c r="H180" i="5" s="1"/>
  <c r="E189" i="5"/>
  <c r="E185" i="5"/>
  <c r="E181" i="5"/>
  <c r="F179" i="5"/>
  <c r="G179" i="5" s="1"/>
  <c r="H179" i="5" s="1"/>
  <c r="CY40" i="1" l="1"/>
  <c r="CY35" i="1"/>
  <c r="CY38" i="1"/>
  <c r="CY52" i="1"/>
  <c r="CY36" i="1"/>
  <c r="CY43" i="1"/>
  <c r="CY39" i="1"/>
  <c r="CY37" i="1"/>
  <c r="CY41" i="1"/>
  <c r="CY42" i="1"/>
  <c r="CY51" i="1"/>
  <c r="CL50" i="1"/>
  <c r="CL39" i="1"/>
  <c r="CL38" i="1"/>
  <c r="CL42" i="1"/>
  <c r="CL40" i="1"/>
  <c r="CL44" i="1"/>
  <c r="CL43" i="1"/>
  <c r="CL41" i="1"/>
  <c r="CL49" i="1"/>
  <c r="CL51" i="1"/>
  <c r="BL34" i="1"/>
  <c r="BL43" i="1"/>
  <c r="BL38" i="1"/>
  <c r="BL37" i="1"/>
  <c r="BL35" i="1"/>
  <c r="BL44" i="1"/>
  <c r="BL42" i="1"/>
  <c r="BL40" i="1"/>
  <c r="BL36" i="1"/>
  <c r="BL39" i="1"/>
  <c r="BL41" i="1"/>
  <c r="AY31" i="1"/>
  <c r="AY37" i="1"/>
  <c r="AY26" i="1"/>
  <c r="AY27" i="1"/>
  <c r="AY43" i="1"/>
  <c r="AY30" i="1"/>
  <c r="AY42" i="1"/>
  <c r="AY40" i="1"/>
  <c r="AY34" i="1"/>
  <c r="AY28" i="1"/>
  <c r="AY41" i="1"/>
  <c r="AY25" i="1"/>
  <c r="AY44" i="1"/>
  <c r="AY36" i="1"/>
  <c r="AY39" i="1"/>
  <c r="AY50" i="1"/>
  <c r="AY32" i="1"/>
  <c r="AY29" i="1"/>
  <c r="AY33" i="1"/>
  <c r="AY38" i="1"/>
  <c r="AL39" i="1"/>
  <c r="AL41" i="1"/>
  <c r="AL34" i="1"/>
  <c r="AL36" i="1"/>
  <c r="AL42" i="1"/>
  <c r="AL37" i="1"/>
  <c r="AL35" i="1"/>
  <c r="AL43" i="1"/>
  <c r="AL40" i="1"/>
  <c r="AL44" i="1"/>
  <c r="AL38" i="1"/>
  <c r="Y41" i="1"/>
  <c r="Y36" i="1"/>
  <c r="Y42" i="1"/>
  <c r="Y43" i="1"/>
  <c r="Y37" i="1"/>
  <c r="Y44" i="1"/>
  <c r="Y38" i="1"/>
  <c r="Y35" i="1"/>
  <c r="Y40" i="1"/>
  <c r="Y39" i="1"/>
  <c r="BY5" i="1"/>
  <c r="AY24" i="1"/>
  <c r="AY20" i="1"/>
  <c r="BL23" i="1"/>
  <c r="BL12" i="1"/>
  <c r="AY10" i="1"/>
  <c r="CY13" i="1"/>
  <c r="AY6" i="1"/>
  <c r="BL18" i="1"/>
  <c r="AY45" i="1"/>
  <c r="BY29" i="1"/>
  <c r="BY17" i="1"/>
  <c r="CL32" i="1"/>
  <c r="CY28" i="1"/>
  <c r="CY23" i="1"/>
  <c r="BL50" i="1"/>
  <c r="BL28" i="1"/>
  <c r="AY35" i="1"/>
  <c r="BY36" i="1"/>
  <c r="CL26" i="1"/>
  <c r="CL17" i="1"/>
  <c r="AL52" i="1"/>
  <c r="AL51" i="1"/>
  <c r="AL50" i="1"/>
  <c r="AL5" i="1"/>
  <c r="AL14" i="1"/>
  <c r="AL46" i="1"/>
  <c r="AL15" i="1"/>
  <c r="AL33" i="1"/>
  <c r="AL45" i="1"/>
  <c r="AL25" i="1"/>
  <c r="AL17" i="1"/>
  <c r="AL27" i="1"/>
  <c r="AL21" i="1"/>
  <c r="AL48" i="1"/>
  <c r="AL10" i="1"/>
  <c r="AL32" i="1"/>
  <c r="AL49" i="1"/>
  <c r="AL29" i="1"/>
  <c r="AL7" i="1"/>
  <c r="AL54" i="1"/>
  <c r="AL26" i="1"/>
  <c r="AL18" i="1"/>
  <c r="AL31" i="1"/>
  <c r="AL16" i="1"/>
  <c r="AL23" i="1"/>
  <c r="Y17" i="1"/>
  <c r="Y11" i="1"/>
  <c r="Y19" i="1"/>
  <c r="Y45" i="1"/>
  <c r="Y15" i="1"/>
  <c r="BL45" i="1"/>
  <c r="BL52" i="1"/>
  <c r="BL20" i="1"/>
  <c r="Y34" i="1"/>
  <c r="Y31" i="1"/>
  <c r="Y54" i="1"/>
  <c r="Y50" i="1"/>
  <c r="Y6" i="1"/>
  <c r="AY13" i="1"/>
  <c r="AY14" i="1"/>
  <c r="BY31" i="1"/>
  <c r="BY42" i="1"/>
  <c r="BY26" i="1"/>
  <c r="CL31" i="1"/>
  <c r="CL37" i="1"/>
  <c r="CL19" i="1"/>
  <c r="CL11" i="1"/>
  <c r="CL30" i="1"/>
  <c r="CL7" i="1"/>
  <c r="CL48" i="1"/>
  <c r="CL18" i="1"/>
  <c r="CL33" i="1"/>
  <c r="BL14" i="1"/>
  <c r="Y53" i="1"/>
  <c r="AY7" i="1"/>
  <c r="AY22" i="1"/>
  <c r="BY16" i="1"/>
  <c r="BY37" i="1"/>
  <c r="BY19" i="1"/>
  <c r="BY15" i="1"/>
  <c r="BY30" i="1"/>
  <c r="BY7" i="1"/>
  <c r="BY10" i="1"/>
  <c r="CL34" i="1"/>
  <c r="CL24" i="1"/>
  <c r="CL12" i="1"/>
  <c r="CL45" i="1"/>
  <c r="BL21" i="1"/>
  <c r="BL46" i="1"/>
  <c r="BL47" i="1"/>
  <c r="BL48" i="1"/>
  <c r="BL53" i="1"/>
  <c r="BL10" i="1"/>
  <c r="BL33" i="1"/>
  <c r="BL49" i="1"/>
  <c r="Y47" i="1"/>
  <c r="Y46" i="1"/>
  <c r="Y33" i="1"/>
  <c r="Y14" i="1"/>
  <c r="Y21" i="1"/>
  <c r="AY15" i="1"/>
  <c r="BY22" i="1"/>
  <c r="BY39" i="1"/>
  <c r="BY21" i="1"/>
  <c r="BY9" i="1"/>
  <c r="BY24" i="1"/>
  <c r="BY12" i="1"/>
  <c r="BY41" i="1"/>
  <c r="BY18" i="1"/>
  <c r="BY33" i="1"/>
  <c r="CL21" i="1"/>
  <c r="CL27" i="1"/>
  <c r="CL13" i="1"/>
  <c r="BL13" i="1"/>
  <c r="BL7" i="1"/>
  <c r="BL31" i="1"/>
  <c r="BL27" i="1"/>
  <c r="Y30" i="1"/>
  <c r="Y10" i="1"/>
  <c r="Y26" i="1"/>
  <c r="Y27" i="1"/>
  <c r="Y22" i="1"/>
  <c r="Y23" i="1"/>
  <c r="AY9" i="1"/>
  <c r="AY21" i="1"/>
  <c r="AY47" i="1"/>
  <c r="AY19" i="1"/>
  <c r="AY54" i="1"/>
  <c r="AY17" i="1"/>
  <c r="AY52" i="1"/>
  <c r="BY14" i="1"/>
  <c r="BY32" i="1"/>
  <c r="BY25" i="1"/>
  <c r="BY38" i="1"/>
  <c r="CL46" i="1"/>
  <c r="CL54" i="1"/>
  <c r="CL52" i="1"/>
  <c r="CY50" i="1"/>
  <c r="CY45" i="1"/>
  <c r="CY34" i="1"/>
  <c r="CY12" i="1"/>
  <c r="CY29" i="1"/>
  <c r="CY8" i="1"/>
  <c r="CY47" i="1"/>
  <c r="CY18" i="1"/>
  <c r="CY33" i="1"/>
  <c r="CY22" i="1"/>
  <c r="CY16" i="1"/>
  <c r="CY31" i="1"/>
  <c r="CY32" i="1"/>
  <c r="CY9" i="1"/>
  <c r="CY15" i="1"/>
  <c r="CY30" i="1"/>
  <c r="CY7" i="1"/>
  <c r="CY54" i="1"/>
  <c r="CY10" i="1"/>
  <c r="CY14" i="1"/>
  <c r="CY6" i="1"/>
  <c r="CY19" i="1"/>
  <c r="CY24" i="1"/>
  <c r="CY20" i="1"/>
  <c r="CY48" i="1"/>
  <c r="CY21" i="1"/>
  <c r="CY26" i="1"/>
  <c r="CY27" i="1"/>
  <c r="CY17" i="1"/>
  <c r="CY53" i="1"/>
  <c r="CY25" i="1"/>
  <c r="CY49" i="1"/>
  <c r="CY44" i="1"/>
  <c r="CX55" i="1"/>
  <c r="CY11" i="1"/>
  <c r="CY46" i="1"/>
  <c r="CL29" i="1"/>
  <c r="CL6" i="1"/>
  <c r="CL16" i="1"/>
  <c r="CL9" i="1"/>
  <c r="CL20" i="1"/>
  <c r="CL22" i="1"/>
  <c r="CL28" i="1"/>
  <c r="CL23" i="1"/>
  <c r="CK55" i="1"/>
  <c r="CL15" i="1"/>
  <c r="CL8" i="1"/>
  <c r="CL36" i="1"/>
  <c r="CL25" i="1"/>
  <c r="CL47" i="1"/>
  <c r="CL35" i="1"/>
  <c r="CL53" i="1"/>
  <c r="CL10" i="1"/>
  <c r="CL14" i="1"/>
  <c r="BY34" i="1"/>
  <c r="BY40" i="1"/>
  <c r="BY35" i="1"/>
  <c r="BY43" i="1"/>
  <c r="BY6" i="1"/>
  <c r="BY27" i="1"/>
  <c r="BY8" i="1"/>
  <c r="BY20" i="1"/>
  <c r="BY13" i="1"/>
  <c r="BY28" i="1"/>
  <c r="BY23" i="1"/>
  <c r="BX44" i="1"/>
  <c r="BY11" i="1"/>
  <c r="AY12" i="1"/>
  <c r="AY46" i="1"/>
  <c r="AY49" i="1"/>
  <c r="AY51" i="1"/>
  <c r="AY23" i="1"/>
  <c r="AX55" i="1"/>
  <c r="AY11" i="1"/>
  <c r="AY16" i="1"/>
  <c r="AY18" i="1"/>
  <c r="AY48" i="1"/>
  <c r="AY53" i="1"/>
  <c r="AY8" i="1"/>
  <c r="X55" i="1"/>
  <c r="Y9" i="1"/>
  <c r="Y16" i="1"/>
  <c r="Y29" i="1"/>
  <c r="Y32" i="1"/>
  <c r="Y52" i="1"/>
  <c r="Y8" i="1"/>
  <c r="Y49" i="1"/>
  <c r="Y24" i="1"/>
  <c r="Y7" i="1"/>
  <c r="Y20" i="1"/>
  <c r="Y18" i="1"/>
  <c r="Y25" i="1"/>
  <c r="Y28" i="1"/>
  <c r="Y12" i="1"/>
  <c r="Y51" i="1"/>
  <c r="Y48" i="1"/>
  <c r="Y13" i="1"/>
  <c r="BL29" i="1"/>
  <c r="BL6" i="1"/>
  <c r="BL24" i="1"/>
  <c r="BL25" i="1"/>
  <c r="BL26" i="1"/>
  <c r="BL15" i="1"/>
  <c r="BL8" i="1"/>
  <c r="BL16" i="1"/>
  <c r="BL17" i="1"/>
  <c r="BL54" i="1"/>
  <c r="BL51" i="1"/>
  <c r="BL9" i="1"/>
  <c r="BK55" i="1"/>
  <c r="BL32" i="1"/>
  <c r="BL30" i="1"/>
  <c r="BL19" i="1"/>
  <c r="BL22" i="1"/>
  <c r="BL11" i="1"/>
  <c r="AL24" i="1"/>
  <c r="AL47" i="1"/>
  <c r="AL8" i="1"/>
  <c r="AL28" i="1"/>
  <c r="AL9" i="1"/>
  <c r="AL30" i="1"/>
  <c r="AL19" i="1"/>
  <c r="AL53" i="1"/>
  <c r="AK55" i="1"/>
  <c r="AL6" i="1"/>
  <c r="AL20" i="1"/>
  <c r="AL22" i="1"/>
  <c r="AL11" i="1"/>
  <c r="AL12" i="1"/>
  <c r="AL13" i="1"/>
  <c r="H193" i="5"/>
  <c r="H82" i="5"/>
  <c r="B6" i="1" l="1"/>
  <c r="B35" i="1" s="1"/>
  <c r="B34" i="1"/>
  <c r="B7" i="1" l="1"/>
  <c r="DN40" i="1" l="1"/>
  <c r="DN39" i="1"/>
  <c r="DN27" i="1"/>
  <c r="DN13" i="1"/>
  <c r="DN18" i="1"/>
  <c r="DN25" i="1"/>
  <c r="DN30" i="1"/>
  <c r="DN32" i="1"/>
  <c r="DN5" i="1"/>
  <c r="DN10" i="1"/>
  <c r="DN28" i="1"/>
  <c r="DN6" i="1"/>
  <c r="DN37" i="1"/>
  <c r="DN31" i="1"/>
  <c r="DN33" i="1"/>
  <c r="DN19" i="1"/>
  <c r="DN35" i="1"/>
  <c r="DN29" i="1"/>
  <c r="DN34" i="1"/>
  <c r="DN15" i="1"/>
  <c r="DN41" i="1"/>
  <c r="DN21" i="1"/>
  <c r="DN26" i="1"/>
  <c r="DN17" i="1"/>
  <c r="DN22" i="1"/>
  <c r="DN38" i="1"/>
  <c r="DN7" i="1"/>
  <c r="DN8" i="1"/>
  <c r="DN11" i="1"/>
  <c r="DN23" i="1"/>
  <c r="DN20" i="1"/>
  <c r="DN24" i="1"/>
  <c r="DN36" i="1"/>
  <c r="DN9" i="1"/>
  <c r="DN14" i="1"/>
  <c r="DN16" i="1"/>
  <c r="DN12" i="1"/>
  <c r="DA51" i="1"/>
  <c r="DA52" i="1"/>
  <c r="DA35" i="1"/>
  <c r="DA39" i="1"/>
  <c r="DA43" i="1"/>
  <c r="DA38" i="1"/>
  <c r="DA42" i="1"/>
  <c r="DA36" i="1"/>
  <c r="DA40" i="1"/>
  <c r="DA37" i="1"/>
  <c r="DA41" i="1"/>
  <c r="CN49" i="1"/>
  <c r="CN50" i="1"/>
  <c r="CN51" i="1"/>
  <c r="CN38" i="1"/>
  <c r="CN42" i="1"/>
  <c r="CN41" i="1"/>
  <c r="CN39" i="1"/>
  <c r="CN43" i="1"/>
  <c r="CN40" i="1"/>
  <c r="CN44" i="1"/>
  <c r="BA50" i="1"/>
  <c r="BN34" i="1"/>
  <c r="BN38" i="1"/>
  <c r="BN42" i="1"/>
  <c r="BN35" i="1"/>
  <c r="BN39" i="1"/>
  <c r="BN43" i="1"/>
  <c r="BN41" i="1"/>
  <c r="BN36" i="1"/>
  <c r="BN40" i="1"/>
  <c r="BN44" i="1"/>
  <c r="BN37" i="1"/>
  <c r="BA36" i="1"/>
  <c r="BA40" i="1"/>
  <c r="BA44" i="1"/>
  <c r="BA37" i="1"/>
  <c r="BA41" i="1"/>
  <c r="BA38" i="1"/>
  <c r="BA42" i="1"/>
  <c r="BA39" i="1"/>
  <c r="BA43" i="1"/>
  <c r="BA25" i="1"/>
  <c r="BA29" i="1"/>
  <c r="BA33" i="1"/>
  <c r="BA26" i="1"/>
  <c r="BA30" i="1"/>
  <c r="BA34" i="1"/>
  <c r="BA28" i="1"/>
  <c r="BA27" i="1"/>
  <c r="BA31" i="1"/>
  <c r="BA32" i="1"/>
  <c r="AN34" i="1"/>
  <c r="AN38" i="1"/>
  <c r="AN42" i="1"/>
  <c r="AN39" i="1"/>
  <c r="AN40" i="1"/>
  <c r="AN44" i="1"/>
  <c r="AN35" i="1"/>
  <c r="AN43" i="1"/>
  <c r="AN36" i="1"/>
  <c r="AN37" i="1"/>
  <c r="AN41" i="1"/>
  <c r="AA35" i="1"/>
  <c r="AA39" i="1"/>
  <c r="AA43" i="1"/>
  <c r="AA42" i="1"/>
  <c r="AA36" i="1"/>
  <c r="AA40" i="1"/>
  <c r="AA44" i="1"/>
  <c r="AA37" i="1"/>
  <c r="AA41" i="1"/>
  <c r="AA38" i="1"/>
  <c r="N43" i="1"/>
  <c r="N15" i="1"/>
  <c r="N8" i="1"/>
  <c r="N31" i="1"/>
  <c r="N13" i="1"/>
  <c r="N18" i="1"/>
  <c r="N51" i="1"/>
  <c r="N52" i="1"/>
  <c r="N24" i="1"/>
  <c r="N17" i="1"/>
  <c r="N48" i="1"/>
  <c r="N36" i="1"/>
  <c r="N16" i="1"/>
  <c r="N27" i="1"/>
  <c r="N53" i="1"/>
  <c r="N12" i="1"/>
  <c r="N23" i="1"/>
  <c r="N42" i="1"/>
  <c r="N29" i="1"/>
  <c r="N5" i="1"/>
  <c r="N41" i="1"/>
  <c r="N28" i="1"/>
  <c r="N21" i="1"/>
  <c r="N19" i="1"/>
  <c r="N50" i="1"/>
  <c r="N44" i="1"/>
  <c r="N38" i="1"/>
  <c r="N11" i="1"/>
  <c r="N32" i="1"/>
  <c r="N7" i="1"/>
  <c r="N34" i="1"/>
  <c r="N33" i="1"/>
  <c r="N20" i="1"/>
  <c r="N47" i="1"/>
  <c r="N45" i="1"/>
  <c r="N30" i="1"/>
  <c r="N37" i="1"/>
  <c r="N14" i="1"/>
  <c r="N39" i="1"/>
  <c r="N54" i="1"/>
  <c r="N26" i="1"/>
  <c r="N6" i="1"/>
  <c r="N40" i="1"/>
  <c r="N25" i="1"/>
  <c r="N49" i="1"/>
  <c r="N46" i="1"/>
  <c r="N10" i="1"/>
  <c r="N35" i="1"/>
  <c r="N22" i="1"/>
  <c r="N9" i="1"/>
  <c r="B38" i="1"/>
  <c r="BA19" i="1"/>
  <c r="BA16" i="1"/>
  <c r="CA32" i="1"/>
  <c r="CA34" i="1"/>
  <c r="CN13" i="1"/>
  <c r="AA47" i="1"/>
  <c r="DA10" i="1"/>
  <c r="CA30" i="1"/>
  <c r="AN21" i="1"/>
  <c r="AN13" i="1"/>
  <c r="AA16" i="1"/>
  <c r="DA31" i="1"/>
  <c r="DA12" i="1"/>
  <c r="DA54" i="1"/>
  <c r="DA24" i="1"/>
  <c r="DA6" i="1"/>
  <c r="CA13" i="1"/>
  <c r="CN19" i="1"/>
  <c r="CN8" i="1"/>
  <c r="CA40" i="1"/>
  <c r="CN36" i="1"/>
  <c r="BN18" i="1"/>
  <c r="BN30" i="1"/>
  <c r="AA26" i="1"/>
  <c r="AA23" i="1"/>
  <c r="AA6" i="1"/>
  <c r="BN21" i="1"/>
  <c r="CN52" i="1"/>
  <c r="DA21" i="1"/>
  <c r="DA13" i="1"/>
  <c r="DA33" i="1"/>
  <c r="AA50" i="1"/>
  <c r="AN48" i="1"/>
  <c r="DA44" i="1"/>
  <c r="CN6" i="1"/>
  <c r="DA8" i="1"/>
  <c r="BN51" i="1"/>
  <c r="BN27" i="1"/>
  <c r="AA49" i="1"/>
  <c r="CN33" i="1"/>
  <c r="CA20" i="1"/>
  <c r="BN7" i="1"/>
  <c r="AA21" i="1"/>
  <c r="BA12" i="1"/>
  <c r="BA53" i="1"/>
  <c r="BA54" i="1"/>
  <c r="CA31" i="1"/>
  <c r="DA23" i="1"/>
  <c r="DA15" i="1"/>
  <c r="DA30" i="1"/>
  <c r="AN45" i="1"/>
  <c r="BN46" i="1"/>
  <c r="AA8" i="1"/>
  <c r="AN25" i="1"/>
  <c r="BN19" i="1"/>
  <c r="CA35" i="1"/>
  <c r="CN21" i="1"/>
  <c r="CN20" i="1"/>
  <c r="CN35" i="1"/>
  <c r="BN15" i="1"/>
  <c r="BN32" i="1"/>
  <c r="AA45" i="1"/>
  <c r="CN45" i="1"/>
  <c r="DA29" i="1"/>
  <c r="DA53" i="1"/>
  <c r="CN37" i="1"/>
  <c r="CN7" i="1"/>
  <c r="CN26" i="1"/>
  <c r="AA9" i="1"/>
  <c r="AN7" i="1"/>
  <c r="BN25" i="1"/>
  <c r="CA19" i="1"/>
  <c r="AN26" i="1"/>
  <c r="BA23" i="1"/>
  <c r="AA32" i="1"/>
  <c r="AA54" i="1"/>
  <c r="CA21" i="1"/>
  <c r="CA15" i="1"/>
  <c r="AN6" i="1"/>
  <c r="BA11" i="1"/>
  <c r="AA28" i="1"/>
  <c r="AA15" i="1"/>
  <c r="AN12" i="1"/>
  <c r="DA26" i="1"/>
  <c r="AN20" i="1"/>
  <c r="CN47" i="1"/>
  <c r="AN14" i="1"/>
  <c r="AN9" i="1"/>
  <c r="AN54" i="1"/>
  <c r="DA34" i="1"/>
  <c r="CN9" i="1"/>
  <c r="BN24" i="1"/>
  <c r="BN47" i="1"/>
  <c r="BN33" i="1"/>
  <c r="BN49" i="1"/>
  <c r="BA35" i="1"/>
  <c r="BN23" i="1"/>
  <c r="AA18" i="1"/>
  <c r="CN31" i="1"/>
  <c r="CA27" i="1"/>
  <c r="BA13" i="1"/>
  <c r="CA42" i="1"/>
  <c r="CA43" i="1"/>
  <c r="CN15" i="1"/>
  <c r="CN16" i="1"/>
  <c r="DA7" i="1"/>
  <c r="BN22" i="1"/>
  <c r="BN54" i="1"/>
  <c r="AA29" i="1"/>
  <c r="BA9" i="1"/>
  <c r="BA18" i="1"/>
  <c r="CA17" i="1"/>
  <c r="CA26" i="1"/>
  <c r="CN28" i="1"/>
  <c r="AN49" i="1"/>
  <c r="BN45" i="1"/>
  <c r="CN48" i="1"/>
  <c r="CN24" i="1"/>
  <c r="CN12" i="1"/>
  <c r="BN17" i="1"/>
  <c r="AA46" i="1"/>
  <c r="AA11" i="1"/>
  <c r="AA25" i="1"/>
  <c r="BA52" i="1"/>
  <c r="BA46" i="1"/>
  <c r="BA14" i="1"/>
  <c r="BA47" i="1"/>
  <c r="BA45" i="1"/>
  <c r="BN8" i="1"/>
  <c r="CN14" i="1"/>
  <c r="BA17" i="1"/>
  <c r="DA50" i="1"/>
  <c r="AN32" i="1"/>
  <c r="CA22" i="1"/>
  <c r="AA10" i="1"/>
  <c r="CN27" i="1"/>
  <c r="AN28" i="1"/>
  <c r="AA14" i="1"/>
  <c r="BA21" i="1"/>
  <c r="DA28" i="1"/>
  <c r="BA10" i="1"/>
  <c r="CA10" i="1"/>
  <c r="AN15" i="1"/>
  <c r="BN53" i="1"/>
  <c r="DA47" i="1"/>
  <c r="DA49" i="1"/>
  <c r="AN51" i="1"/>
  <c r="AA20" i="1"/>
  <c r="DA25" i="1"/>
  <c r="BA7" i="1"/>
  <c r="CN54" i="1"/>
  <c r="BN28" i="1"/>
  <c r="AA30" i="1"/>
  <c r="BA22" i="1"/>
  <c r="AA22" i="1"/>
  <c r="AN11" i="1"/>
  <c r="AA17" i="1"/>
  <c r="DA16" i="1"/>
  <c r="BN6" i="1"/>
  <c r="CA8" i="1"/>
  <c r="BN20" i="1"/>
  <c r="AN46" i="1"/>
  <c r="CN30" i="1"/>
  <c r="AN30" i="1"/>
  <c r="BA48" i="1"/>
  <c r="CA41" i="1"/>
  <c r="AN53" i="1"/>
  <c r="BN52" i="1"/>
  <c r="DA17" i="1"/>
  <c r="CA38" i="1"/>
  <c r="BN48" i="1"/>
  <c r="BN5" i="1"/>
  <c r="DA48" i="1"/>
  <c r="CA24" i="1"/>
  <c r="AA24" i="1"/>
  <c r="BN13" i="1"/>
  <c r="AA33" i="1"/>
  <c r="BA24" i="1"/>
  <c r="AA19" i="1"/>
  <c r="DA20" i="1"/>
  <c r="AA34" i="1"/>
  <c r="CA37" i="1"/>
  <c r="CN10" i="1"/>
  <c r="BN29" i="1"/>
  <c r="AN47" i="1"/>
  <c r="BA8" i="1"/>
  <c r="AN10" i="1"/>
  <c r="DA45" i="1"/>
  <c r="BN14" i="1"/>
  <c r="AA53" i="1"/>
  <c r="AN19" i="1"/>
  <c r="BN31" i="1"/>
  <c r="BN9" i="1"/>
  <c r="DA11" i="1"/>
  <c r="AA51" i="1"/>
  <c r="AN50" i="1"/>
  <c r="BA51" i="1"/>
  <c r="CA7" i="1"/>
  <c r="AN29" i="1"/>
  <c r="AA12" i="1"/>
  <c r="AN31" i="1"/>
  <c r="DA32" i="1"/>
  <c r="CA23" i="1"/>
  <c r="BA6" i="1"/>
  <c r="BN50" i="1"/>
  <c r="BA15" i="1"/>
  <c r="CN18" i="1"/>
  <c r="BA20" i="1"/>
  <c r="CA16" i="1"/>
  <c r="BN26" i="1"/>
  <c r="CA14" i="1"/>
  <c r="CA33" i="1"/>
  <c r="AN52" i="1"/>
  <c r="AN33" i="1"/>
  <c r="AA52" i="1"/>
  <c r="AN18" i="1"/>
  <c r="CA28" i="1"/>
  <c r="AA7" i="1"/>
  <c r="AN16" i="1"/>
  <c r="BN12" i="1"/>
  <c r="CN25" i="1"/>
  <c r="DA27" i="1"/>
  <c r="AN17" i="1"/>
  <c r="CN29" i="1"/>
  <c r="CA18" i="1"/>
  <c r="AA13" i="1"/>
  <c r="CN46" i="1"/>
  <c r="AA48" i="1"/>
  <c r="AN27" i="1"/>
  <c r="AN23" i="1"/>
  <c r="AN8" i="1"/>
  <c r="CA11" i="1"/>
  <c r="CA25" i="1"/>
  <c r="CA6" i="1"/>
  <c r="AA31" i="1"/>
  <c r="AA27" i="1"/>
  <c r="DA22" i="1"/>
  <c r="AN24" i="1"/>
  <c r="DA19" i="1"/>
  <c r="CA39" i="1"/>
  <c r="DA9" i="1"/>
  <c r="BN16" i="1"/>
  <c r="CN23" i="1"/>
  <c r="DA14" i="1"/>
  <c r="CN53" i="1"/>
  <c r="DA46" i="1"/>
  <c r="CN34" i="1"/>
  <c r="CN22" i="1"/>
  <c r="DA18" i="1"/>
  <c r="CN11" i="1"/>
  <c r="BA49" i="1"/>
  <c r="AN22" i="1"/>
  <c r="CA12" i="1"/>
  <c r="CN32" i="1"/>
  <c r="BN10" i="1"/>
  <c r="CA9" i="1"/>
  <c r="CA29" i="1"/>
  <c r="BN11" i="1"/>
  <c r="CA36" i="1"/>
  <c r="CN17" i="1"/>
  <c r="AN5" i="1"/>
  <c r="CA5" i="1"/>
  <c r="CN5" i="1"/>
  <c r="BA5" i="1"/>
  <c r="DA5" i="1"/>
  <c r="AA5" i="1"/>
  <c r="B10" i="1"/>
  <c r="DM30" i="1" l="1"/>
  <c r="DM8" i="1"/>
  <c r="DM19" i="1"/>
  <c r="DM24" i="1"/>
  <c r="DM6" i="1"/>
  <c r="DM5" i="1"/>
  <c r="DM21" i="1"/>
  <c r="DM31" i="1"/>
  <c r="DM34" i="1"/>
  <c r="DM26" i="1"/>
  <c r="DM35" i="1"/>
  <c r="DM20" i="1"/>
  <c r="DM16" i="1"/>
  <c r="DM15" i="1"/>
  <c r="DM33" i="1"/>
  <c r="DM17" i="1"/>
  <c r="DM40" i="1"/>
  <c r="DM32" i="1"/>
  <c r="DM41" i="1"/>
  <c r="DM11" i="1"/>
  <c r="DM10" i="1"/>
  <c r="DM12" i="1"/>
  <c r="DM29" i="1"/>
  <c r="DM28" i="1"/>
  <c r="DM13" i="1"/>
  <c r="DM9" i="1"/>
  <c r="DM36" i="1"/>
  <c r="DM14" i="1"/>
  <c r="DM37" i="1"/>
  <c r="DM38" i="1"/>
  <c r="DM39" i="1"/>
  <c r="DM18" i="1"/>
  <c r="DM23" i="1"/>
  <c r="DM25" i="1"/>
  <c r="DM7" i="1"/>
  <c r="DM22" i="1"/>
  <c r="DM27" i="1"/>
  <c r="DN42" i="1"/>
  <c r="CZ52" i="1"/>
  <c r="CZ51" i="1"/>
  <c r="CZ36" i="1"/>
  <c r="CZ40" i="1"/>
  <c r="CZ35" i="1"/>
  <c r="CZ39" i="1"/>
  <c r="CZ37" i="1"/>
  <c r="CZ41" i="1"/>
  <c r="CZ38" i="1"/>
  <c r="CZ42" i="1"/>
  <c r="CZ43" i="1"/>
  <c r="CM49" i="1"/>
  <c r="CM50" i="1"/>
  <c r="CM51" i="1"/>
  <c r="CM41" i="1"/>
  <c r="CM38" i="1"/>
  <c r="CM42" i="1"/>
  <c r="CM39" i="1"/>
  <c r="CM43" i="1"/>
  <c r="CM40" i="1"/>
  <c r="CM44" i="1"/>
  <c r="AZ50" i="1"/>
  <c r="BM37" i="1"/>
  <c r="BM41" i="1"/>
  <c r="BM40" i="1"/>
  <c r="BM34" i="1"/>
  <c r="BM38" i="1"/>
  <c r="BM42" i="1"/>
  <c r="BM44" i="1"/>
  <c r="BM35" i="1"/>
  <c r="BM39" i="1"/>
  <c r="BM43" i="1"/>
  <c r="BM36" i="1"/>
  <c r="AZ37" i="1"/>
  <c r="AZ41" i="1"/>
  <c r="AZ38" i="1"/>
  <c r="AZ42" i="1"/>
  <c r="AZ39" i="1"/>
  <c r="AZ43" i="1"/>
  <c r="AZ36" i="1"/>
  <c r="AZ40" i="1"/>
  <c r="AZ44" i="1"/>
  <c r="AZ27" i="1"/>
  <c r="AZ31" i="1"/>
  <c r="AZ28" i="1"/>
  <c r="AZ32" i="1"/>
  <c r="AZ30" i="1"/>
  <c r="AZ25" i="1"/>
  <c r="AZ29" i="1"/>
  <c r="AZ33" i="1"/>
  <c r="AZ26" i="1"/>
  <c r="AZ34" i="1"/>
  <c r="AM37" i="1"/>
  <c r="AM41" i="1"/>
  <c r="AM38" i="1"/>
  <c r="AM42" i="1"/>
  <c r="AM35" i="1"/>
  <c r="AM39" i="1"/>
  <c r="AM43" i="1"/>
  <c r="AM34" i="1"/>
  <c r="AM36" i="1"/>
  <c r="AM40" i="1"/>
  <c r="AM44" i="1"/>
  <c r="Z37" i="1"/>
  <c r="Z41" i="1"/>
  <c r="Z38" i="1"/>
  <c r="Z42" i="1"/>
  <c r="Z35" i="1"/>
  <c r="Z39" i="1"/>
  <c r="Z43" i="1"/>
  <c r="Z36" i="1"/>
  <c r="Z40" i="1"/>
  <c r="Z44" i="1"/>
  <c r="M23" i="1"/>
  <c r="M17" i="1"/>
  <c r="M27" i="1"/>
  <c r="M22" i="1"/>
  <c r="M46" i="1"/>
  <c r="M13" i="1"/>
  <c r="M16" i="1"/>
  <c r="M42" i="1"/>
  <c r="M32" i="1"/>
  <c r="M7" i="1"/>
  <c r="M20" i="1"/>
  <c r="M10" i="1"/>
  <c r="M49" i="1"/>
  <c r="M26" i="1"/>
  <c r="M30" i="1"/>
  <c r="M14" i="1"/>
  <c r="M41" i="1"/>
  <c r="M21" i="1"/>
  <c r="M29" i="1"/>
  <c r="M18" i="1"/>
  <c r="M54" i="1"/>
  <c r="M19" i="1"/>
  <c r="M11" i="1"/>
  <c r="M40" i="1"/>
  <c r="M9" i="1"/>
  <c r="M34" i="1"/>
  <c r="M5" i="1"/>
  <c r="M37" i="1"/>
  <c r="M8" i="1"/>
  <c r="M31" i="1"/>
  <c r="M25" i="1"/>
  <c r="M36" i="1"/>
  <c r="M38" i="1"/>
  <c r="M47" i="1"/>
  <c r="M45" i="1"/>
  <c r="M43" i="1"/>
  <c r="M44" i="1"/>
  <c r="M53" i="1"/>
  <c r="M52" i="1"/>
  <c r="M15" i="1"/>
  <c r="M39" i="1"/>
  <c r="M33" i="1"/>
  <c r="M6" i="1"/>
  <c r="M12" i="1"/>
  <c r="M48" i="1"/>
  <c r="M35" i="1"/>
  <c r="M50" i="1"/>
  <c r="M51" i="1"/>
  <c r="M28" i="1"/>
  <c r="M24" i="1"/>
  <c r="N55" i="1"/>
  <c r="AA55" i="1"/>
  <c r="DA55" i="1"/>
  <c r="AN55" i="1"/>
  <c r="BA55" i="1"/>
  <c r="CA44" i="1"/>
  <c r="CN55" i="1"/>
  <c r="BZ27" i="1"/>
  <c r="AM10" i="1"/>
  <c r="AZ54" i="1"/>
  <c r="AZ6" i="1"/>
  <c r="BZ18" i="1"/>
  <c r="BZ43" i="1"/>
  <c r="AZ51" i="1"/>
  <c r="BZ36" i="1"/>
  <c r="BZ19" i="1"/>
  <c r="AZ22" i="1"/>
  <c r="BZ16" i="1"/>
  <c r="AZ49" i="1"/>
  <c r="BZ22" i="1"/>
  <c r="BZ42" i="1"/>
  <c r="BZ28" i="1"/>
  <c r="AZ35" i="1"/>
  <c r="AZ46" i="1"/>
  <c r="BZ40" i="1"/>
  <c r="AZ21" i="1"/>
  <c r="AZ15" i="1"/>
  <c r="AZ47" i="1"/>
  <c r="BZ30" i="1"/>
  <c r="BZ37" i="1"/>
  <c r="BZ13" i="1"/>
  <c r="AM16" i="1"/>
  <c r="AZ53" i="1"/>
  <c r="AZ13" i="1"/>
  <c r="BZ21" i="1"/>
  <c r="AZ7" i="1"/>
  <c r="BZ15" i="1"/>
  <c r="AM12" i="1"/>
  <c r="AZ24" i="1"/>
  <c r="AZ12" i="1"/>
  <c r="BZ34" i="1"/>
  <c r="AZ9" i="1"/>
  <c r="BZ39" i="1"/>
  <c r="BZ24" i="1"/>
  <c r="AZ10" i="1"/>
  <c r="AM14" i="1"/>
  <c r="BZ7" i="1"/>
  <c r="BZ31" i="1"/>
  <c r="AZ8" i="1"/>
  <c r="Z34" i="1"/>
  <c r="CM17" i="1"/>
  <c r="AZ48" i="1"/>
  <c r="CM30" i="1"/>
  <c r="AZ23" i="1"/>
  <c r="AM22" i="1"/>
  <c r="CZ8" i="1"/>
  <c r="BZ26" i="1"/>
  <c r="AZ16" i="1"/>
  <c r="BZ10" i="1"/>
  <c r="BZ33" i="1"/>
  <c r="AM46" i="1"/>
  <c r="CM24" i="1"/>
  <c r="BZ35" i="1"/>
  <c r="AM18" i="1"/>
  <c r="BZ6" i="1"/>
  <c r="CM21" i="1"/>
  <c r="BZ14" i="1"/>
  <c r="Z50" i="1"/>
  <c r="Z17" i="1"/>
  <c r="Z28" i="1"/>
  <c r="BM31" i="1"/>
  <c r="AM8" i="1"/>
  <c r="AM6" i="1"/>
  <c r="CM19" i="1"/>
  <c r="Z15" i="1"/>
  <c r="CZ9" i="1"/>
  <c r="CM14" i="1"/>
  <c r="CZ31" i="1"/>
  <c r="CZ21" i="1"/>
  <c r="BZ25" i="1"/>
  <c r="AZ19" i="1"/>
  <c r="AZ18" i="1"/>
  <c r="AM49" i="1"/>
  <c r="AM11" i="1"/>
  <c r="BZ17" i="1"/>
  <c r="CM46" i="1"/>
  <c r="CZ18" i="1"/>
  <c r="AM26" i="1"/>
  <c r="BM14" i="1"/>
  <c r="Z31" i="1"/>
  <c r="AM47" i="1"/>
  <c r="CM20" i="1"/>
  <c r="AM23" i="1"/>
  <c r="CZ27" i="1"/>
  <c r="BM45" i="1"/>
  <c r="Z53" i="1"/>
  <c r="AM15" i="1"/>
  <c r="AZ45" i="1"/>
  <c r="BZ20" i="1"/>
  <c r="AM52" i="1"/>
  <c r="AZ11" i="1"/>
  <c r="AM9" i="1"/>
  <c r="CZ30" i="1"/>
  <c r="BZ29" i="1"/>
  <c r="CM28" i="1"/>
  <c r="Z47" i="1"/>
  <c r="AM51" i="1"/>
  <c r="BM23" i="1"/>
  <c r="CZ12" i="1"/>
  <c r="Z49" i="1"/>
  <c r="AM7" i="1"/>
  <c r="CM45" i="1"/>
  <c r="CZ28" i="1"/>
  <c r="BZ23" i="1"/>
  <c r="CM37" i="1"/>
  <c r="Z11" i="1"/>
  <c r="BM16" i="1"/>
  <c r="BM50" i="1"/>
  <c r="BM54" i="1"/>
  <c r="BM28" i="1"/>
  <c r="AM21" i="1"/>
  <c r="AM25" i="1"/>
  <c r="AM45" i="1"/>
  <c r="CZ23" i="1"/>
  <c r="BZ38" i="1"/>
  <c r="Z14" i="1"/>
  <c r="Z23" i="1"/>
  <c r="BZ32" i="1"/>
  <c r="CZ50" i="1"/>
  <c r="CM52" i="1"/>
  <c r="AZ52" i="1"/>
  <c r="CM11" i="1"/>
  <c r="CZ16" i="1"/>
  <c r="Z45" i="1"/>
  <c r="CZ29" i="1"/>
  <c r="Z54" i="1"/>
  <c r="CM33" i="1"/>
  <c r="AM13" i="1"/>
  <c r="AM48" i="1"/>
  <c r="AM53" i="1"/>
  <c r="Z46" i="1"/>
  <c r="Z22" i="1"/>
  <c r="Z9" i="1"/>
  <c r="BM49" i="1"/>
  <c r="BM46" i="1"/>
  <c r="Z18" i="1"/>
  <c r="CZ53" i="1"/>
  <c r="AM20" i="1"/>
  <c r="BZ5" i="1"/>
  <c r="CM35" i="1"/>
  <c r="CM5" i="1"/>
  <c r="AZ20" i="1"/>
  <c r="CZ15" i="1"/>
  <c r="BM11" i="1"/>
  <c r="Z29" i="1"/>
  <c r="CM32" i="1"/>
  <c r="CZ45" i="1"/>
  <c r="Z51" i="1"/>
  <c r="CM15" i="1"/>
  <c r="BM18" i="1"/>
  <c r="CZ10" i="1"/>
  <c r="BM52" i="1"/>
  <c r="CM8" i="1"/>
  <c r="BM13" i="1"/>
  <c r="BM8" i="1"/>
  <c r="CM26" i="1"/>
  <c r="BM51" i="1"/>
  <c r="BZ9" i="1"/>
  <c r="AM32" i="1"/>
  <c r="CZ19" i="1"/>
  <c r="BZ8" i="1"/>
  <c r="CZ33" i="1"/>
  <c r="CM27" i="1"/>
  <c r="BM33" i="1"/>
  <c r="BM30" i="1"/>
  <c r="BM9" i="1"/>
  <c r="Z52" i="1"/>
  <c r="Z21" i="1"/>
  <c r="CM54" i="1"/>
  <c r="CM47" i="1"/>
  <c r="CZ6" i="1"/>
  <c r="CZ13" i="1"/>
  <c r="BM27" i="1"/>
  <c r="BM5" i="1"/>
  <c r="Z13" i="1"/>
  <c r="CZ5" i="1"/>
  <c r="CZ14" i="1"/>
  <c r="BM10" i="1"/>
  <c r="BM20" i="1"/>
  <c r="CZ47" i="1"/>
  <c r="CZ54" i="1"/>
  <c r="BM12" i="1"/>
  <c r="CZ25" i="1"/>
  <c r="CZ46" i="1"/>
  <c r="CZ24" i="1"/>
  <c r="Z24" i="1"/>
  <c r="BM21" i="1"/>
  <c r="CM16" i="1"/>
  <c r="CM6" i="1"/>
  <c r="BM17" i="1"/>
  <c r="Z6" i="1"/>
  <c r="CZ22" i="1"/>
  <c r="CM13" i="1"/>
  <c r="Z27" i="1"/>
  <c r="CM34" i="1"/>
  <c r="CM9" i="1"/>
  <c r="BZ11" i="1"/>
  <c r="Z5" i="1"/>
  <c r="CZ7" i="1"/>
  <c r="CZ26" i="1"/>
  <c r="CM48" i="1"/>
  <c r="AM54" i="1"/>
  <c r="Z33" i="1"/>
  <c r="CZ20" i="1"/>
  <c r="Z48" i="1"/>
  <c r="CZ17" i="1"/>
  <c r="Z26" i="1"/>
  <c r="AM24" i="1"/>
  <c r="Z32" i="1"/>
  <c r="AM17" i="1"/>
  <c r="AM5" i="1"/>
  <c r="CM7" i="1"/>
  <c r="CM10" i="1"/>
  <c r="CZ11" i="1"/>
  <c r="BM29" i="1"/>
  <c r="Z30" i="1"/>
  <c r="BM15" i="1"/>
  <c r="CM18" i="1"/>
  <c r="BM48" i="1"/>
  <c r="CM29" i="1"/>
  <c r="Z25" i="1"/>
  <c r="BM24" i="1"/>
  <c r="CZ48" i="1"/>
  <c r="BZ41" i="1"/>
  <c r="AZ5" i="1"/>
  <c r="Z19" i="1"/>
  <c r="AM28" i="1"/>
  <c r="BM7" i="1"/>
  <c r="CZ44" i="1"/>
  <c r="CZ32" i="1"/>
  <c r="BZ12" i="1"/>
  <c r="BM6" i="1"/>
  <c r="CM12" i="1"/>
  <c r="AM19" i="1"/>
  <c r="CZ34" i="1"/>
  <c r="AM27" i="1"/>
  <c r="Z20" i="1"/>
  <c r="BM47" i="1"/>
  <c r="BM32" i="1"/>
  <c r="AM33" i="1"/>
  <c r="CM31" i="1"/>
  <c r="Z10" i="1"/>
  <c r="BM26" i="1"/>
  <c r="Z16" i="1"/>
  <c r="CZ49" i="1"/>
  <c r="BM25" i="1"/>
  <c r="BM19" i="1"/>
  <c r="Z8" i="1"/>
  <c r="AZ17" i="1"/>
  <c r="CM53" i="1"/>
  <c r="AZ14" i="1"/>
  <c r="AM29" i="1"/>
  <c r="Z12" i="1"/>
  <c r="Z7" i="1"/>
  <c r="CM25" i="1"/>
  <c r="AM30" i="1"/>
  <c r="AM50" i="1"/>
  <c r="CM36" i="1"/>
  <c r="BM22" i="1"/>
  <c r="AM31" i="1"/>
  <c r="CM23" i="1"/>
  <c r="BM53" i="1"/>
  <c r="CM22" i="1"/>
  <c r="BN55" i="1"/>
  <c r="DM42" i="1" l="1"/>
  <c r="M55" i="1"/>
  <c r="B36" i="1"/>
  <c r="B8" i="1"/>
  <c r="B37" i="1" s="1"/>
  <c r="BM55" i="1"/>
  <c r="CM55" i="1"/>
  <c r="AZ55" i="1"/>
  <c r="Z55" i="1"/>
  <c r="CZ55" i="1"/>
  <c r="BZ44" i="1"/>
  <c r="AM55" i="1"/>
  <c r="B39" i="1" l="1"/>
  <c r="B11" i="1"/>
  <c r="B9" i="1"/>
  <c r="B12" i="1" l="1"/>
  <c r="BB47" i="1" s="1"/>
  <c r="BC47" i="1" s="1"/>
  <c r="B40" i="1"/>
  <c r="CO35" i="1" l="1"/>
  <c r="CP35" i="1" s="1"/>
  <c r="BB23" i="1"/>
  <c r="BC23" i="1" s="1"/>
  <c r="BO31" i="1"/>
  <c r="BP31" i="1" s="1"/>
  <c r="CB28" i="1"/>
  <c r="CC28" i="1" s="1"/>
  <c r="DB54" i="1"/>
  <c r="DC54" i="1" s="1"/>
  <c r="AO27" i="1"/>
  <c r="AP27" i="1" s="1"/>
  <c r="CO31" i="1"/>
  <c r="CP31" i="1" s="1"/>
  <c r="CB29" i="1"/>
  <c r="CC29" i="1" s="1"/>
  <c r="AO49" i="1"/>
  <c r="AP49" i="1" s="1"/>
  <c r="AO26" i="1"/>
  <c r="AP26" i="1" s="1"/>
  <c r="DB16" i="1"/>
  <c r="DC16" i="1" s="1"/>
  <c r="CB33" i="1"/>
  <c r="CC33" i="1" s="1"/>
  <c r="BB5" i="1"/>
  <c r="AO7" i="1"/>
  <c r="AP7" i="1" s="1"/>
  <c r="DB23" i="1"/>
  <c r="DC23" i="1" s="1"/>
  <c r="DB45" i="1"/>
  <c r="DC45" i="1" s="1"/>
  <c r="AB18" i="1"/>
  <c r="AC18" i="1" s="1"/>
  <c r="BB48" i="1"/>
  <c r="BC48" i="1" s="1"/>
  <c r="BO52" i="1"/>
  <c r="BP52" i="1" s="1"/>
  <c r="CO47" i="1"/>
  <c r="CP47" i="1" s="1"/>
  <c r="AO53" i="1"/>
  <c r="AP53" i="1" s="1"/>
  <c r="CO9" i="1"/>
  <c r="CP9" i="1" s="1"/>
  <c r="BO32" i="1"/>
  <c r="BP32" i="1" s="1"/>
  <c r="CO29" i="1"/>
  <c r="CP29" i="1" s="1"/>
  <c r="AB28" i="1"/>
  <c r="AC28" i="1" s="1"/>
  <c r="CO54" i="1"/>
  <c r="CP54" i="1" s="1"/>
  <c r="AB46" i="1"/>
  <c r="AC46" i="1" s="1"/>
  <c r="BO10" i="1"/>
  <c r="BP10" i="1" s="1"/>
  <c r="CB13" i="1"/>
  <c r="CC13" i="1" s="1"/>
  <c r="AO9" i="1"/>
  <c r="AP9" i="1" s="1"/>
  <c r="AB25" i="1"/>
  <c r="AC25" i="1" s="1"/>
  <c r="AO21" i="1"/>
  <c r="AP21" i="1" s="1"/>
  <c r="AB48" i="1"/>
  <c r="AC48" i="1" s="1"/>
  <c r="CO17" i="1"/>
  <c r="CP17" i="1" s="1"/>
  <c r="AO23" i="1"/>
  <c r="AP23" i="1" s="1"/>
  <c r="DB15" i="1"/>
  <c r="DC15" i="1" s="1"/>
  <c r="AB16" i="1"/>
  <c r="AC16" i="1" s="1"/>
  <c r="BB12" i="1"/>
  <c r="BC12" i="1" s="1"/>
  <c r="AB45" i="1"/>
  <c r="AC45" i="1" s="1"/>
  <c r="CB9" i="1"/>
  <c r="CC9" i="1" s="1"/>
  <c r="AO28" i="1"/>
  <c r="AP28" i="1" s="1"/>
  <c r="DB46" i="1"/>
  <c r="DC46" i="1" s="1"/>
  <c r="AO52" i="1"/>
  <c r="AP52" i="1" s="1"/>
  <c r="AO20" i="1"/>
  <c r="AP20" i="1" s="1"/>
  <c r="DB47" i="1"/>
  <c r="DC47" i="1" s="1"/>
  <c r="BB49" i="1"/>
  <c r="BC49" i="1" s="1"/>
  <c r="AO47" i="1"/>
  <c r="AP47" i="1" s="1"/>
  <c r="BO11" i="1"/>
  <c r="BP11" i="1" s="1"/>
  <c r="DB20" i="1"/>
  <c r="DC20" i="1" s="1"/>
  <c r="AB20" i="1"/>
  <c r="AC20" i="1" s="1"/>
  <c r="CB7" i="1"/>
  <c r="CC7" i="1" s="1"/>
  <c r="DB12" i="1"/>
  <c r="DC12" i="1" s="1"/>
  <c r="CB8" i="1"/>
  <c r="CC8" i="1" s="1"/>
  <c r="BO14" i="1"/>
  <c r="BP14" i="1" s="1"/>
  <c r="CO52" i="1"/>
  <c r="CP52" i="1" s="1"/>
  <c r="AB21" i="1"/>
  <c r="AC21" i="1" s="1"/>
  <c r="CO10" i="1"/>
  <c r="CP10" i="1" s="1"/>
  <c r="CB27" i="1"/>
  <c r="CC27" i="1" s="1"/>
  <c r="CO45" i="1"/>
  <c r="CP45" i="1" s="1"/>
  <c r="AB6" i="1"/>
  <c r="AC6" i="1" s="1"/>
  <c r="CO25" i="1"/>
  <c r="CP25" i="1" s="1"/>
  <c r="CB30" i="1"/>
  <c r="CC30" i="1" s="1"/>
  <c r="AB9" i="1"/>
  <c r="AC9" i="1" s="1"/>
  <c r="DB13" i="1"/>
  <c r="DC13" i="1" s="1"/>
  <c r="CB37" i="1"/>
  <c r="CC37" i="1" s="1"/>
  <c r="DB8" i="1"/>
  <c r="DC8" i="1" s="1"/>
  <c r="BB53" i="1"/>
  <c r="BC53" i="1" s="1"/>
  <c r="AB7" i="1"/>
  <c r="AC7" i="1" s="1"/>
  <c r="CB25" i="1"/>
  <c r="CC25" i="1" s="1"/>
  <c r="CO30" i="1"/>
  <c r="CP30" i="1" s="1"/>
  <c r="BO13" i="1"/>
  <c r="BP13" i="1" s="1"/>
  <c r="DB10" i="1"/>
  <c r="DC10" i="1" s="1"/>
  <c r="CB22" i="1"/>
  <c r="CC22" i="1" s="1"/>
  <c r="AO25" i="1"/>
  <c r="AP25" i="1" s="1"/>
  <c r="BB21" i="1"/>
  <c r="BC21" i="1" s="1"/>
  <c r="CO16" i="1"/>
  <c r="CP16" i="1" s="1"/>
  <c r="CO24" i="1"/>
  <c r="CP24" i="1" s="1"/>
  <c r="AO15" i="1"/>
  <c r="AP15" i="1" s="1"/>
  <c r="CO26" i="1"/>
  <c r="CP26" i="1" s="1"/>
  <c r="CO7" i="1"/>
  <c r="CP7" i="1" s="1"/>
  <c r="CO53" i="1"/>
  <c r="CP53" i="1" s="1"/>
  <c r="AB15" i="1"/>
  <c r="AC15" i="1" s="1"/>
  <c r="DB50" i="1"/>
  <c r="DC50" i="1" s="1"/>
  <c r="DB6" i="1"/>
  <c r="DC6" i="1" s="1"/>
  <c r="BO45" i="1"/>
  <c r="BP45" i="1" s="1"/>
  <c r="AO13" i="1"/>
  <c r="AP13" i="1" s="1"/>
  <c r="DB14" i="1"/>
  <c r="DC14" i="1" s="1"/>
  <c r="CO18" i="1"/>
  <c r="CP18" i="1" s="1"/>
  <c r="AO18" i="1"/>
  <c r="AP18" i="1" s="1"/>
  <c r="CB32" i="1"/>
  <c r="CC32" i="1" s="1"/>
  <c r="BO48" i="1"/>
  <c r="BP48" i="1" s="1"/>
  <c r="BB10" i="1"/>
  <c r="BC10" i="1" s="1"/>
  <c r="DB28" i="1"/>
  <c r="DC28" i="1" s="1"/>
  <c r="CB5" i="1"/>
  <c r="CC5" i="1" s="1"/>
  <c r="AB5" i="1"/>
  <c r="AC5" i="1" s="1"/>
  <c r="DO37" i="1"/>
  <c r="DP37" i="1" s="1"/>
  <c r="DO16" i="1"/>
  <c r="DP16" i="1" s="1"/>
  <c r="DO11" i="1"/>
  <c r="DP11" i="1" s="1"/>
  <c r="DO22" i="1"/>
  <c r="DP22" i="1" s="1"/>
  <c r="DO29" i="1"/>
  <c r="DP29" i="1" s="1"/>
  <c r="DO40" i="1"/>
  <c r="DP40" i="1" s="1"/>
  <c r="DO26" i="1"/>
  <c r="DP26" i="1" s="1"/>
  <c r="DO5" i="1"/>
  <c r="DO9" i="1"/>
  <c r="DP9" i="1" s="1"/>
  <c r="DO24" i="1"/>
  <c r="DP24" i="1" s="1"/>
  <c r="DO13" i="1"/>
  <c r="DP13" i="1" s="1"/>
  <c r="DO17" i="1"/>
  <c r="DP17" i="1" s="1"/>
  <c r="DO38" i="1"/>
  <c r="DP38" i="1" s="1"/>
  <c r="DO27" i="1"/>
  <c r="DP27" i="1" s="1"/>
  <c r="DO41" i="1"/>
  <c r="DP41" i="1" s="1"/>
  <c r="DO12" i="1"/>
  <c r="DP12" i="1" s="1"/>
  <c r="DO30" i="1"/>
  <c r="DP30" i="1" s="1"/>
  <c r="DO32" i="1"/>
  <c r="DP32" i="1" s="1"/>
  <c r="DO10" i="1"/>
  <c r="DP10" i="1" s="1"/>
  <c r="DO36" i="1"/>
  <c r="DP36" i="1" s="1"/>
  <c r="DO15" i="1"/>
  <c r="DP15" i="1" s="1"/>
  <c r="DO18" i="1"/>
  <c r="DP18" i="1" s="1"/>
  <c r="DO21" i="1"/>
  <c r="DP21" i="1" s="1"/>
  <c r="DO31" i="1"/>
  <c r="DP31" i="1" s="1"/>
  <c r="DO34" i="1"/>
  <c r="DP34" i="1" s="1"/>
  <c r="DO28" i="1"/>
  <c r="DP28" i="1" s="1"/>
  <c r="DO7" i="1"/>
  <c r="DP7" i="1" s="1"/>
  <c r="DO8" i="1"/>
  <c r="DP8" i="1" s="1"/>
  <c r="DO23" i="1"/>
  <c r="DP23" i="1" s="1"/>
  <c r="DO20" i="1"/>
  <c r="DP20" i="1" s="1"/>
  <c r="DO33" i="1"/>
  <c r="DP33" i="1" s="1"/>
  <c r="DO14" i="1"/>
  <c r="DP14" i="1" s="1"/>
  <c r="DO19" i="1"/>
  <c r="DP19" i="1" s="1"/>
  <c r="DO39" i="1"/>
  <c r="DP39" i="1" s="1"/>
  <c r="DO6" i="1"/>
  <c r="DP6" i="1" s="1"/>
  <c r="DO25" i="1"/>
  <c r="DP25" i="1" s="1"/>
  <c r="DO35" i="1"/>
  <c r="DP35" i="1" s="1"/>
  <c r="DB52" i="1"/>
  <c r="DC52" i="1" s="1"/>
  <c r="DB51" i="1"/>
  <c r="DC51" i="1" s="1"/>
  <c r="DB38" i="1"/>
  <c r="DC38" i="1" s="1"/>
  <c r="DB42" i="1"/>
  <c r="DC42" i="1" s="1"/>
  <c r="DB41" i="1"/>
  <c r="DC41" i="1" s="1"/>
  <c r="DB35" i="1"/>
  <c r="DC35" i="1" s="1"/>
  <c r="DB39" i="1"/>
  <c r="DC39" i="1" s="1"/>
  <c r="DB43" i="1"/>
  <c r="DC43" i="1" s="1"/>
  <c r="DB36" i="1"/>
  <c r="DC36" i="1" s="1"/>
  <c r="DB40" i="1"/>
  <c r="DC40" i="1" s="1"/>
  <c r="DB37" i="1"/>
  <c r="DC37" i="1" s="1"/>
  <c r="CO50" i="1"/>
  <c r="CP50" i="1" s="1"/>
  <c r="CO51" i="1"/>
  <c r="CP51" i="1" s="1"/>
  <c r="CO49" i="1"/>
  <c r="CP49" i="1" s="1"/>
  <c r="CO39" i="1"/>
  <c r="CP39" i="1" s="1"/>
  <c r="CO43" i="1"/>
  <c r="CP43" i="1" s="1"/>
  <c r="CO42" i="1"/>
  <c r="CP42" i="1" s="1"/>
  <c r="CO40" i="1"/>
  <c r="CP40" i="1" s="1"/>
  <c r="CO44" i="1"/>
  <c r="CP44" i="1" s="1"/>
  <c r="CO41" i="1"/>
  <c r="CP41" i="1" s="1"/>
  <c r="CO38" i="1"/>
  <c r="CP38" i="1" s="1"/>
  <c r="BB50" i="1"/>
  <c r="BC50" i="1" s="1"/>
  <c r="BO35" i="1"/>
  <c r="BP35" i="1" s="1"/>
  <c r="BO39" i="1"/>
  <c r="BP39" i="1" s="1"/>
  <c r="BO43" i="1"/>
  <c r="BP43" i="1" s="1"/>
  <c r="BO34" i="1"/>
  <c r="BP34" i="1" s="1"/>
  <c r="BO36" i="1"/>
  <c r="BP36" i="1" s="1"/>
  <c r="BO40" i="1"/>
  <c r="BP40" i="1" s="1"/>
  <c r="BO44" i="1"/>
  <c r="BP44" i="1" s="1"/>
  <c r="BO42" i="1"/>
  <c r="BP42" i="1" s="1"/>
  <c r="BO37" i="1"/>
  <c r="BP37" i="1" s="1"/>
  <c r="BO41" i="1"/>
  <c r="BP41" i="1" s="1"/>
  <c r="BO38" i="1"/>
  <c r="BP38" i="1" s="1"/>
  <c r="BB39" i="1"/>
  <c r="BC39" i="1" s="1"/>
  <c r="BB43" i="1"/>
  <c r="BC43" i="1" s="1"/>
  <c r="BB36" i="1"/>
  <c r="BC36" i="1" s="1"/>
  <c r="BB40" i="1"/>
  <c r="BC40" i="1" s="1"/>
  <c r="BB44" i="1"/>
  <c r="BC44" i="1" s="1"/>
  <c r="BB37" i="1"/>
  <c r="BC37" i="1" s="1"/>
  <c r="BB41" i="1"/>
  <c r="BC41" i="1" s="1"/>
  <c r="BB38" i="1"/>
  <c r="BC38" i="1" s="1"/>
  <c r="BB42" i="1"/>
  <c r="BC42" i="1" s="1"/>
  <c r="BB27" i="1"/>
  <c r="BC27" i="1" s="1"/>
  <c r="BB31" i="1"/>
  <c r="BC31" i="1" s="1"/>
  <c r="BB28" i="1"/>
  <c r="BC28" i="1" s="1"/>
  <c r="BB32" i="1"/>
  <c r="BC32" i="1" s="1"/>
  <c r="BB26" i="1"/>
  <c r="BC26" i="1" s="1"/>
  <c r="BB34" i="1"/>
  <c r="BC34" i="1" s="1"/>
  <c r="BB25" i="1"/>
  <c r="BC25" i="1" s="1"/>
  <c r="BB29" i="1"/>
  <c r="BC29" i="1" s="1"/>
  <c r="BB33" i="1"/>
  <c r="BC33" i="1" s="1"/>
  <c r="BB30" i="1"/>
  <c r="BC30" i="1" s="1"/>
  <c r="AO35" i="1"/>
  <c r="AP35" i="1" s="1"/>
  <c r="AO39" i="1"/>
  <c r="AP39" i="1" s="1"/>
  <c r="AO43" i="1"/>
  <c r="AP43" i="1" s="1"/>
  <c r="AO36" i="1"/>
  <c r="AP36" i="1" s="1"/>
  <c r="AO40" i="1"/>
  <c r="AP40" i="1" s="1"/>
  <c r="AO37" i="1"/>
  <c r="AP37" i="1" s="1"/>
  <c r="AO34" i="1"/>
  <c r="AP34" i="1" s="1"/>
  <c r="AO42" i="1"/>
  <c r="AP42" i="1" s="1"/>
  <c r="AO44" i="1"/>
  <c r="AP44" i="1" s="1"/>
  <c r="AO41" i="1"/>
  <c r="AP41" i="1" s="1"/>
  <c r="AO38" i="1"/>
  <c r="AP38" i="1" s="1"/>
  <c r="CO13" i="1"/>
  <c r="CP13" i="1" s="1"/>
  <c r="AB37" i="1"/>
  <c r="AC37" i="1" s="1"/>
  <c r="AB41" i="1"/>
  <c r="AC41" i="1" s="1"/>
  <c r="AB36" i="1"/>
  <c r="AC36" i="1" s="1"/>
  <c r="AB40" i="1"/>
  <c r="AC40" i="1" s="1"/>
  <c r="AB38" i="1"/>
  <c r="AC38" i="1" s="1"/>
  <c r="AB42" i="1"/>
  <c r="AC42" i="1" s="1"/>
  <c r="AB35" i="1"/>
  <c r="AC35" i="1" s="1"/>
  <c r="AB39" i="1"/>
  <c r="AC39" i="1" s="1"/>
  <c r="AB43" i="1"/>
  <c r="AC43" i="1" s="1"/>
  <c r="AB44" i="1"/>
  <c r="AC44" i="1" s="1"/>
  <c r="AB26" i="1"/>
  <c r="AC26" i="1" s="1"/>
  <c r="AB49" i="1"/>
  <c r="AC49" i="1" s="1"/>
  <c r="BO29" i="1"/>
  <c r="BP29" i="1" s="1"/>
  <c r="CO6" i="1"/>
  <c r="CP6" i="1" s="1"/>
  <c r="BB6" i="1"/>
  <c r="BC6" i="1" s="1"/>
  <c r="CB6" i="1"/>
  <c r="CC6" i="1" s="1"/>
  <c r="BO51" i="1"/>
  <c r="BP51" i="1" s="1"/>
  <c r="CO23" i="1"/>
  <c r="CP23" i="1" s="1"/>
  <c r="DB31" i="1"/>
  <c r="DC31" i="1" s="1"/>
  <c r="CO11" i="1"/>
  <c r="CP11" i="1" s="1"/>
  <c r="BO27" i="1"/>
  <c r="BP27" i="1" s="1"/>
  <c r="BB15" i="1"/>
  <c r="BC15" i="1" s="1"/>
  <c r="DB49" i="1"/>
  <c r="DC49" i="1" s="1"/>
  <c r="AO22" i="1"/>
  <c r="AP22" i="1" s="1"/>
  <c r="AO10" i="1"/>
  <c r="AP10" i="1" s="1"/>
  <c r="O24" i="1"/>
  <c r="P24" i="1" s="1"/>
  <c r="O45" i="1"/>
  <c r="P45" i="1" s="1"/>
  <c r="O11" i="1"/>
  <c r="P11" i="1" s="1"/>
  <c r="O16" i="1"/>
  <c r="P16" i="1" s="1"/>
  <c r="O53" i="1"/>
  <c r="P53" i="1" s="1"/>
  <c r="O19" i="1"/>
  <c r="P19" i="1" s="1"/>
  <c r="O13" i="1"/>
  <c r="P13" i="1" s="1"/>
  <c r="O39" i="1"/>
  <c r="P39" i="1" s="1"/>
  <c r="O8" i="1"/>
  <c r="P8" i="1" s="1"/>
  <c r="O49" i="1"/>
  <c r="P49" i="1" s="1"/>
  <c r="O50" i="1"/>
  <c r="P50" i="1" s="1"/>
  <c r="O18" i="1"/>
  <c r="P18" i="1" s="1"/>
  <c r="O22" i="1"/>
  <c r="P22" i="1" s="1"/>
  <c r="O35" i="1"/>
  <c r="P35" i="1" s="1"/>
  <c r="O25" i="1"/>
  <c r="P25" i="1" s="1"/>
  <c r="O29" i="1"/>
  <c r="P29" i="1" s="1"/>
  <c r="O27" i="1"/>
  <c r="P27" i="1" s="1"/>
  <c r="O47" i="1"/>
  <c r="P47" i="1" s="1"/>
  <c r="O21" i="1"/>
  <c r="P21" i="1" s="1"/>
  <c r="O17" i="1"/>
  <c r="P17" i="1" s="1"/>
  <c r="O9" i="1"/>
  <c r="P9" i="1" s="1"/>
  <c r="O32" i="1"/>
  <c r="P32" i="1" s="1"/>
  <c r="O12" i="1"/>
  <c r="P12" i="1" s="1"/>
  <c r="O36" i="1"/>
  <c r="P36" i="1" s="1"/>
  <c r="O14" i="1"/>
  <c r="P14" i="1" s="1"/>
  <c r="O6" i="1"/>
  <c r="P6" i="1" s="1"/>
  <c r="O5" i="1"/>
  <c r="P5" i="1" s="1"/>
  <c r="O30" i="1"/>
  <c r="P30" i="1" s="1"/>
  <c r="O28" i="1"/>
  <c r="P28" i="1" s="1"/>
  <c r="O31" i="1"/>
  <c r="P31" i="1" s="1"/>
  <c r="O26" i="1"/>
  <c r="P26" i="1" s="1"/>
  <c r="O51" i="1"/>
  <c r="P51" i="1" s="1"/>
  <c r="O44" i="1"/>
  <c r="P44" i="1" s="1"/>
  <c r="O54" i="1"/>
  <c r="P54" i="1" s="1"/>
  <c r="O46" i="1"/>
  <c r="P46" i="1" s="1"/>
  <c r="O15" i="1"/>
  <c r="P15" i="1" s="1"/>
  <c r="O37" i="1"/>
  <c r="P37" i="1" s="1"/>
  <c r="O10" i="1"/>
  <c r="P10" i="1" s="1"/>
  <c r="O52" i="1"/>
  <c r="P52" i="1" s="1"/>
  <c r="O20" i="1"/>
  <c r="P20" i="1" s="1"/>
  <c r="O33" i="1"/>
  <c r="P33" i="1" s="1"/>
  <c r="O34" i="1"/>
  <c r="P34" i="1" s="1"/>
  <c r="O7" i="1"/>
  <c r="P7" i="1" s="1"/>
  <c r="O48" i="1"/>
  <c r="P48" i="1" s="1"/>
  <c r="O38" i="1"/>
  <c r="P38" i="1" s="1"/>
  <c r="O41" i="1"/>
  <c r="P41" i="1" s="1"/>
  <c r="O23" i="1"/>
  <c r="P23" i="1" s="1"/>
  <c r="O43" i="1"/>
  <c r="P43" i="1" s="1"/>
  <c r="O40" i="1"/>
  <c r="P40" i="1" s="1"/>
  <c r="O42" i="1"/>
  <c r="P42" i="1" s="1"/>
  <c r="B41" i="1"/>
  <c r="CB34" i="1"/>
  <c r="CC34" i="1" s="1"/>
  <c r="DB7" i="1"/>
  <c r="DC7" i="1" s="1"/>
  <c r="CB21" i="1"/>
  <c r="CC21" i="1" s="1"/>
  <c r="CB24" i="1"/>
  <c r="CC24" i="1" s="1"/>
  <c r="CO21" i="1"/>
  <c r="CP21" i="1" s="1"/>
  <c r="DB21" i="1"/>
  <c r="DC21" i="1" s="1"/>
  <c r="AO50" i="1"/>
  <c r="AP50" i="1" s="1"/>
  <c r="BO8" i="1"/>
  <c r="BP8" i="1" s="1"/>
  <c r="AO45" i="1"/>
  <c r="AP45" i="1" s="1"/>
  <c r="DB53" i="1"/>
  <c r="DC53" i="1" s="1"/>
  <c r="BO24" i="1"/>
  <c r="BP24" i="1" s="1"/>
  <c r="BO20" i="1"/>
  <c r="BP20" i="1" s="1"/>
  <c r="BO21" i="1"/>
  <c r="BP21" i="1" s="1"/>
  <c r="DB33" i="1"/>
  <c r="DC33" i="1" s="1"/>
  <c r="AO24" i="1"/>
  <c r="AP24" i="1" s="1"/>
  <c r="CB15" i="1"/>
  <c r="CC15" i="1" s="1"/>
  <c r="AB10" i="1"/>
  <c r="AC10" i="1" s="1"/>
  <c r="CO46" i="1"/>
  <c r="CP46" i="1" s="1"/>
  <c r="CB19" i="1"/>
  <c r="CC19" i="1" s="1"/>
  <c r="CB39" i="1"/>
  <c r="CC39" i="1" s="1"/>
  <c r="BB18" i="1"/>
  <c r="BC18" i="1" s="1"/>
  <c r="BB35" i="1"/>
  <c r="BC35" i="1" s="1"/>
  <c r="CO19" i="1"/>
  <c r="CP19" i="1" s="1"/>
  <c r="CO32" i="1"/>
  <c r="CP32" i="1" s="1"/>
  <c r="CB26" i="1"/>
  <c r="CC26" i="1" s="1"/>
  <c r="CO28" i="1"/>
  <c r="CP28" i="1" s="1"/>
  <c r="CO37" i="1"/>
  <c r="CP37" i="1" s="1"/>
  <c r="AB13" i="1"/>
  <c r="AC13" i="1" s="1"/>
  <c r="DB29" i="1"/>
  <c r="DC29" i="1" s="1"/>
  <c r="DB48" i="1"/>
  <c r="DC48" i="1" s="1"/>
  <c r="BB54" i="1"/>
  <c r="BC54" i="1" s="1"/>
  <c r="BO33" i="1"/>
  <c r="BP33" i="1" s="1"/>
  <c r="BB22" i="1"/>
  <c r="BC22" i="1" s="1"/>
  <c r="AB33" i="1"/>
  <c r="AC33" i="1" s="1"/>
  <c r="BB51" i="1"/>
  <c r="BC51" i="1" s="1"/>
  <c r="AO5" i="1"/>
  <c r="AP5" i="1" s="1"/>
  <c r="BB13" i="1"/>
  <c r="BC13" i="1" s="1"/>
  <c r="CO36" i="1"/>
  <c r="CP36" i="1" s="1"/>
  <c r="AB11" i="1"/>
  <c r="AC11" i="1" s="1"/>
  <c r="CB43" i="1"/>
  <c r="CC43" i="1" s="1"/>
  <c r="BO49" i="1"/>
  <c r="BP49" i="1" s="1"/>
  <c r="BB8" i="1"/>
  <c r="BC8" i="1" s="1"/>
  <c r="AB47" i="1"/>
  <c r="AC47" i="1" s="1"/>
  <c r="DB11" i="1"/>
  <c r="DC11" i="1" s="1"/>
  <c r="DB18" i="1"/>
  <c r="DC18" i="1" s="1"/>
  <c r="CO15" i="1"/>
  <c r="CP15" i="1" s="1"/>
  <c r="CB10" i="1"/>
  <c r="CC10" i="1" s="1"/>
  <c r="AB54" i="1"/>
  <c r="AC54" i="1" s="1"/>
  <c r="DB25" i="1"/>
  <c r="DC25" i="1" s="1"/>
  <c r="DB22" i="1"/>
  <c r="DC22" i="1" s="1"/>
  <c r="BO22" i="1"/>
  <c r="BP22" i="1" s="1"/>
  <c r="DB5" i="1"/>
  <c r="DC5" i="1" s="1"/>
  <c r="DB44" i="1"/>
  <c r="DC44" i="1" s="1"/>
  <c r="AO12" i="1"/>
  <c r="AP12" i="1" s="1"/>
  <c r="BO25" i="1"/>
  <c r="BP25" i="1" s="1"/>
  <c r="CB31" i="1"/>
  <c r="CC31" i="1" s="1"/>
  <c r="BB45" i="1"/>
  <c r="BC45" i="1" s="1"/>
  <c r="CO12" i="1"/>
  <c r="CP12" i="1" s="1"/>
  <c r="AB17" i="1"/>
  <c r="AC17" i="1" s="1"/>
  <c r="AO32" i="1"/>
  <c r="AP32" i="1" s="1"/>
  <c r="BO30" i="1"/>
  <c r="BP30" i="1" s="1"/>
  <c r="CO5" i="1"/>
  <c r="CP5" i="1" s="1"/>
  <c r="AO17" i="1"/>
  <c r="AP17" i="1" s="1"/>
  <c r="CO20" i="1"/>
  <c r="CP20" i="1" s="1"/>
  <c r="AO33" i="1"/>
  <c r="AP33" i="1" s="1"/>
  <c r="BB16" i="1"/>
  <c r="BC16" i="1" s="1"/>
  <c r="AB29" i="1"/>
  <c r="AC29" i="1" s="1"/>
  <c r="CB35" i="1"/>
  <c r="CC35" i="1" s="1"/>
  <c r="AB32" i="1"/>
  <c r="AC32" i="1" s="1"/>
  <c r="CB20" i="1"/>
  <c r="CC20" i="1" s="1"/>
  <c r="BO5" i="1"/>
  <c r="BP5" i="1" s="1"/>
  <c r="CB17" i="1"/>
  <c r="CC17" i="1" s="1"/>
  <c r="AB22" i="1"/>
  <c r="AC22" i="1" s="1"/>
  <c r="BO17" i="1"/>
  <c r="BP17" i="1" s="1"/>
  <c r="CB23" i="1"/>
  <c r="CC23" i="1" s="1"/>
  <c r="CO27" i="1"/>
  <c r="CP27" i="1" s="1"/>
  <c r="AO29" i="1"/>
  <c r="AP29" i="1" s="1"/>
  <c r="DB26" i="1"/>
  <c r="DC26" i="1" s="1"/>
  <c r="BO26" i="1"/>
  <c r="BP26" i="1" s="1"/>
  <c r="BO12" i="1"/>
  <c r="BP12" i="1" s="1"/>
  <c r="CB42" i="1"/>
  <c r="CC42" i="1" s="1"/>
  <c r="BO6" i="1"/>
  <c r="BP6" i="1" s="1"/>
  <c r="AO46" i="1"/>
  <c r="AP46" i="1" s="1"/>
  <c r="BO47" i="1"/>
  <c r="BP47" i="1" s="1"/>
  <c r="DB9" i="1"/>
  <c r="DC9" i="1" s="1"/>
  <c r="CB38" i="1"/>
  <c r="CC38" i="1" s="1"/>
  <c r="AO31" i="1"/>
  <c r="AP31" i="1" s="1"/>
  <c r="AB24" i="1"/>
  <c r="AC24" i="1" s="1"/>
  <c r="CB14" i="1"/>
  <c r="CC14" i="1" s="1"/>
  <c r="BB20" i="1"/>
  <c r="BC20" i="1" s="1"/>
  <c r="BB17" i="1"/>
  <c r="BC17" i="1" s="1"/>
  <c r="BB24" i="1"/>
  <c r="BC24" i="1" s="1"/>
  <c r="BO23" i="1"/>
  <c r="BP23" i="1" s="1"/>
  <c r="BO54" i="1"/>
  <c r="BP54" i="1" s="1"/>
  <c r="CB11" i="1"/>
  <c r="CC11" i="1" s="1"/>
  <c r="AB53" i="1"/>
  <c r="AC53" i="1" s="1"/>
  <c r="AO48" i="1"/>
  <c r="AP48" i="1" s="1"/>
  <c r="BB52" i="1"/>
  <c r="BC52" i="1" s="1"/>
  <c r="BO9" i="1"/>
  <c r="BP9" i="1" s="1"/>
  <c r="BB9" i="1"/>
  <c r="BC9" i="1" s="1"/>
  <c r="AO6" i="1"/>
  <c r="AP6" i="1" s="1"/>
  <c r="AB30" i="1"/>
  <c r="AC30" i="1" s="1"/>
  <c r="AB31" i="1"/>
  <c r="AC31" i="1" s="1"/>
  <c r="DB17" i="1"/>
  <c r="DC17" i="1" s="1"/>
  <c r="AO19" i="1"/>
  <c r="AP19" i="1" s="1"/>
  <c r="CB40" i="1"/>
  <c r="CC40" i="1" s="1"/>
  <c r="BB11" i="1"/>
  <c r="BC11" i="1" s="1"/>
  <c r="AB50" i="1"/>
  <c r="AC50" i="1" s="1"/>
  <c r="CO14" i="1"/>
  <c r="CP14" i="1" s="1"/>
  <c r="AB52" i="1"/>
  <c r="AC52" i="1" s="1"/>
  <c r="AO16" i="1"/>
  <c r="AP16" i="1" s="1"/>
  <c r="BO28" i="1"/>
  <c r="BP28" i="1" s="1"/>
  <c r="BB7" i="1"/>
  <c r="BC7" i="1" s="1"/>
  <c r="CO8" i="1"/>
  <c r="CP8" i="1" s="1"/>
  <c r="CB12" i="1"/>
  <c r="CC12" i="1" s="1"/>
  <c r="CO34" i="1"/>
  <c r="CP34" i="1" s="1"/>
  <c r="BO19" i="1"/>
  <c r="BP19" i="1" s="1"/>
  <c r="CO48" i="1"/>
  <c r="CP48" i="1" s="1"/>
  <c r="AO11" i="1"/>
  <c r="AP11" i="1" s="1"/>
  <c r="AO51" i="1"/>
  <c r="AP51" i="1" s="1"/>
  <c r="AB14" i="1"/>
  <c r="AC14" i="1" s="1"/>
  <c r="CB16" i="1"/>
  <c r="CC16" i="1" s="1"/>
  <c r="BO46" i="1"/>
  <c r="BP46" i="1" s="1"/>
  <c r="BB46" i="1"/>
  <c r="BC46" i="1" s="1"/>
  <c r="CO33" i="1"/>
  <c r="CP33" i="1" s="1"/>
  <c r="BO16" i="1"/>
  <c r="BP16" i="1" s="1"/>
  <c r="DB32" i="1"/>
  <c r="DC32" i="1" s="1"/>
  <c r="AB19" i="1"/>
  <c r="AC19" i="1" s="1"/>
  <c r="BO18" i="1"/>
  <c r="BP18" i="1" s="1"/>
  <c r="BB14" i="1"/>
  <c r="BC14" i="1" s="1"/>
  <c r="AO30" i="1"/>
  <c r="AP30" i="1" s="1"/>
  <c r="DB34" i="1"/>
  <c r="DC34" i="1" s="1"/>
  <c r="CB18" i="1"/>
  <c r="CC18" i="1" s="1"/>
  <c r="AB8" i="1"/>
  <c r="AC8" i="1" s="1"/>
  <c r="DB30" i="1"/>
  <c r="DC30" i="1" s="1"/>
  <c r="AB34" i="1"/>
  <c r="AC34" i="1" s="1"/>
  <c r="BO50" i="1"/>
  <c r="BP50" i="1" s="1"/>
  <c r="CB36" i="1"/>
  <c r="CC36" i="1" s="1"/>
  <c r="DB19" i="1"/>
  <c r="DC19" i="1" s="1"/>
  <c r="AB51" i="1"/>
  <c r="AC51" i="1" s="1"/>
  <c r="AO8" i="1"/>
  <c r="AP8" i="1" s="1"/>
  <c r="AO54" i="1"/>
  <c r="AP54" i="1" s="1"/>
  <c r="AO14" i="1"/>
  <c r="AP14" i="1" s="1"/>
  <c r="AB12" i="1"/>
  <c r="AC12" i="1" s="1"/>
  <c r="BO7" i="1"/>
  <c r="BP7" i="1" s="1"/>
  <c r="AB27" i="1"/>
  <c r="AC27" i="1" s="1"/>
  <c r="BB19" i="1"/>
  <c r="BC19" i="1" s="1"/>
  <c r="BO15" i="1"/>
  <c r="BP15" i="1" s="1"/>
  <c r="CO22" i="1"/>
  <c r="CP22" i="1" s="1"/>
  <c r="BO53" i="1"/>
  <c r="BP53" i="1" s="1"/>
  <c r="DB27" i="1"/>
  <c r="DC27" i="1" s="1"/>
  <c r="AB23" i="1"/>
  <c r="AC23" i="1" s="1"/>
  <c r="DB24" i="1"/>
  <c r="DC24" i="1" s="1"/>
  <c r="CB41" i="1"/>
  <c r="CC41" i="1" s="1"/>
  <c r="B13" i="1"/>
  <c r="BC5" i="1"/>
  <c r="DO42" i="1" l="1"/>
  <c r="DP5" i="1"/>
  <c r="DP42" i="1" s="1"/>
  <c r="O55" i="1"/>
  <c r="CO55" i="1"/>
  <c r="AP55" i="1"/>
  <c r="BB55" i="1"/>
  <c r="AO55" i="1"/>
  <c r="BC55" i="1"/>
  <c r="CP55" i="1"/>
  <c r="BO55" i="1"/>
  <c r="P55" i="1"/>
  <c r="AC55" i="1"/>
  <c r="AB55" i="1"/>
  <c r="DB55" i="1"/>
  <c r="BP55" i="1"/>
  <c r="CC44" i="1"/>
  <c r="CB44" i="1"/>
  <c r="DC55" i="1"/>
  <c r="B14" i="1"/>
  <c r="A1" i="1" s="1"/>
  <c r="A3" i="1" s="1"/>
  <c r="B42" i="1"/>
</calcChain>
</file>

<file path=xl/sharedStrings.xml><?xml version="1.0" encoding="utf-8"?>
<sst xmlns="http://schemas.openxmlformats.org/spreadsheetml/2006/main" count="685" uniqueCount="577">
  <si>
    <t>Platz</t>
  </si>
  <si>
    <t>Name</t>
  </si>
  <si>
    <t>Mult</t>
  </si>
  <si>
    <t>ListPot</t>
  </si>
  <si>
    <t>GülzST2</t>
  </si>
  <si>
    <t>IstGestrichen</t>
  </si>
  <si>
    <t>ListPotKum</t>
  </si>
  <si>
    <t>Schlüssel</t>
  </si>
  <si>
    <t>Wert</t>
  </si>
  <si>
    <t>MaxStimmen</t>
  </si>
  <si>
    <t>MaxEinzelstimmen</t>
  </si>
  <si>
    <t>Stimmen</t>
  </si>
  <si>
    <t>Maximale Stimmenanzahl</t>
  </si>
  <si>
    <t>Vergebene Einzelstimmen</t>
  </si>
  <si>
    <t>Gültige Einzelstimmen</t>
  </si>
  <si>
    <t>Ungültige Einzelstimmen</t>
  </si>
  <si>
    <t>Reststimmen</t>
  </si>
  <si>
    <t>Wahl</t>
  </si>
  <si>
    <t>Liste</t>
  </si>
  <si>
    <t>Gesamt</t>
  </si>
  <si>
    <t>Einzel</t>
  </si>
  <si>
    <t>Einzelstimmenzahl ok?</t>
  </si>
  <si>
    <t>Vergebene Listenstimmen</t>
  </si>
  <si>
    <t>Listenstimmen gültig?</t>
  </si>
  <si>
    <t>ListVerg</t>
  </si>
  <si>
    <t>Gültige Stimmen</t>
  </si>
  <si>
    <t>Mind. eine gültige Stimme?</t>
  </si>
  <si>
    <t>Spalte1</t>
  </si>
  <si>
    <t>701 Etzel, Thomas, Gewerkschaftssekretär i.R., Stadtrat 1954</t>
  </si>
  <si>
    <t>702 Damasceno da Costa e Silva, Janson, B.Eng., Ingenieur 1990</t>
  </si>
  <si>
    <t>703 Hartmann, Andreas, Projektmanager 1980</t>
  </si>
  <si>
    <t>704 Petermann, Eva, Oberstudienrätin a.D. 1950</t>
  </si>
  <si>
    <t>705 Strobel, Michael, Unternehmer 1982</t>
  </si>
  <si>
    <t>706 Hoffmann, Anna-Lena, Verkäuferin 1986</t>
  </si>
  <si>
    <t>707 Oechslein, Randolph, Industrieelektroniker i.R. 1953</t>
  </si>
  <si>
    <t>708 Damasceno da Costa e Silva, Anette, Bauzeichnerin 1959</t>
  </si>
  <si>
    <t>709 Blug, Paul, Notfallsanitäter 1997</t>
  </si>
  <si>
    <t>710 Schaller, Inge, kaufmännische Angestellte i.R. 1946</t>
  </si>
  <si>
    <t>711 Frisch, Manuel, Sachbearbeiter 1980</t>
  </si>
  <si>
    <t>712 Seidel, Hans, Taxifahrer 1966</t>
  </si>
  <si>
    <t>713 Dimmling, Andreas, Kraftfahrer 1982</t>
  </si>
  <si>
    <t>714 Zettlmeißl, Marcus, Schüler 1995</t>
  </si>
  <si>
    <t>ID</t>
  </si>
  <si>
    <t>Zeitungstext</t>
  </si>
  <si>
    <t>Länge</t>
  </si>
  <si>
    <t>Nachname</t>
  </si>
  <si>
    <t>GebJahr</t>
  </si>
  <si>
    <t>Alter</t>
  </si>
  <si>
    <t>601 Senf, Peter, Rechtsanwalt 1969</t>
  </si>
  <si>
    <t>602 Späte, Dieter, Unternehmensberater i.R. 1950</t>
  </si>
  <si>
    <t>603 Walther, Stefan, Betriebswirt 1961</t>
  </si>
  <si>
    <t>604 Schübel, Ira, Friseurmeisterin 1966</t>
  </si>
  <si>
    <t>605 Eichert, Lars, Rechtsanwalt 1976</t>
  </si>
  <si>
    <t>606 Klindt, Malte, Personalberater 1956</t>
  </si>
  <si>
    <t>607 Friesen, Christian, Dipl.-Wirtschaftsingenieur (FH), Produktmanager 1979</t>
  </si>
  <si>
    <t>608 Degel, Arno, Versicherungskaufmann i.R. 1953</t>
  </si>
  <si>
    <t>609 Prof. Dr. Radeleff, Boris Alexis, Arzt 1969</t>
  </si>
  <si>
    <t>610 Hamm, Nikolas, Student 1995</t>
  </si>
  <si>
    <t>611 Hagen, Johannes, Fachkraft Einzelhandel 1997</t>
  </si>
  <si>
    <t>612 Neubert, Johannes, Fahrdienstleiter 1992</t>
  </si>
  <si>
    <t>613 Löhnert, Martin, Callcenteragent 2000</t>
  </si>
  <si>
    <t>801 Zeitler, Klaus, Rentner 1953</t>
  </si>
  <si>
    <t>802 Dietel, Hans-Jürgen, Rentner, Stadtrat 1955</t>
  </si>
  <si>
    <t>803 Bär, Heidi, Rentnerin 1953</t>
  </si>
  <si>
    <t>804 Köberer, Ramona, Bürokauffrau 1980</t>
  </si>
  <si>
    <t>805 Köberer, Thomas, Soldat 1983</t>
  </si>
  <si>
    <t>806 Aßmann, Siegfried, Rentner 1944</t>
  </si>
  <si>
    <t>807 Neumann, Markus, Stahlbauschlosser 1971</t>
  </si>
  <si>
    <t>808 Klement, Werner, Rentner 1955</t>
  </si>
  <si>
    <t>809 Busch, Werner, Maurer und Stuckateur 1958</t>
  </si>
  <si>
    <t>810 Nämack, Lothar, Rentner 1954</t>
  </si>
  <si>
    <t>811 Herzky, Sabine, Küchenhilfe 1961</t>
  </si>
  <si>
    <t>812 Bär, Lothar, Pensionär 1947</t>
  </si>
  <si>
    <t>813 Dietel, Maria, Raumpflegerin 1959</t>
  </si>
  <si>
    <t>901 Böhm, Michael, selbstständiger Gastronom 1970</t>
  </si>
  <si>
    <t>902 Korb, Stephan, Dipl.-Ing. (FH) 1971</t>
  </si>
  <si>
    <t>903 Rödel, Michael, Fachinformatiker 1990</t>
  </si>
  <si>
    <t>904 Rödel, Christine, Steuerfachangestellte 1962</t>
  </si>
  <si>
    <t>905 Regalin, Sandra, Sozialversicherungsfachangestellte 1970</t>
  </si>
  <si>
    <t>906 Baumgarten, Steffi, Industriekauffrau 1969</t>
  </si>
  <si>
    <t>907 Schumann, Julia, Hausfrau 1987</t>
  </si>
  <si>
    <t>908 Hummel, Mike, Dipl.-Informatiker 1976</t>
  </si>
  <si>
    <t>909 Spranger, Roland, Autor 1963</t>
  </si>
  <si>
    <t>910 Riegel, Jakob, freiwilliges soziales Jahr 2001</t>
  </si>
  <si>
    <t>911 Schatz, Benjamin, Angestellter im öffentlichen Dienst 1983</t>
  </si>
  <si>
    <t>912 Heydemann, Christian, Lagerarbeiter 1987</t>
  </si>
  <si>
    <t>913 Müller, Bettina, Angestellte 1957</t>
  </si>
  <si>
    <t>501 Döhla,Eva,M.A.,MAS,Marketing-Managerin,Stadträtin,Fraktionsvorsitzende,Stiftungsrätin 1972</t>
  </si>
  <si>
    <t>502 Strößner, Florian, Fachoberlehrer, Bürgermeister, Stadtrat, Jugendschöffe 1985</t>
  </si>
  <si>
    <t>503 Franke, Michaela, Betriebsleiterin Bäder 1971</t>
  </si>
  <si>
    <t>504 Leitl, Patrick, Historiker M.A., wissenschaftlicher Mitarbeiter 1986</t>
  </si>
  <si>
    <t>505 Böhm, Karola, Rechtsanwältin, Stadträtin, stellv. Fraktionsvorsitzende 1956</t>
  </si>
  <si>
    <t>506 Kolb, Sascha, Jurist 1996</t>
  </si>
  <si>
    <t>507 Hering, Andrea, Krankheits-Gesundheitspflegerin, Stadträtin 1966</t>
  </si>
  <si>
    <t>508 Kaiser, Alexander, selbstständiger Gastronom, Stadtrat 1972</t>
  </si>
  <si>
    <t>509 Wunderlich, Hülya, Staatl. gepr. Sozialberaterin, Stadträtin 1962</t>
  </si>
  <si>
    <t>510 Kilincsoy, Aytunc, Elektriker, freigest. Betriebsratsvorsitzender, Stadtrat, ehrenamt. Arbeitsrichter 1963</t>
  </si>
  <si>
    <t>511 Brandt, Nadine, Kauffrau für Büromanagement 1978</t>
  </si>
  <si>
    <t>512 Dr. Adelt, Jürgen, Frauenarzt, Stadtrat, stellv. Fraktionsvorsitzender 1949</t>
  </si>
  <si>
    <t>513 Leichauer, Iris, Sekretärin 1962</t>
  </si>
  <si>
    <t>514 Wellen, Benjamin, Friseurmeister 1983</t>
  </si>
  <si>
    <t>515 Kaiser, Franziska, Integrationslotsin 1988</t>
  </si>
  <si>
    <t>516 Immisch, Christian, Sicherheits- u. Gesundheitsschutzkoordinator 1987</t>
  </si>
  <si>
    <t>517 Ertas, Serpil, Friseurmeisterin 1972</t>
  </si>
  <si>
    <t>518 Flügel, Stefan, Lokomotivführer 1970</t>
  </si>
  <si>
    <t>519 Wilfert-Zimmermann, Eva, Assistentin der Geschäftsleitung 1955</t>
  </si>
  <si>
    <t>520 Kampschulte, Peter, Schauspieler, Kreisrat 1962</t>
  </si>
  <si>
    <t>521 Hermann, Jacqueline, Arzthelferin 1967</t>
  </si>
  <si>
    <t>522 Willutzki, Frank, Verkäufer Land-Forst-u. Gartentechnik 1978</t>
  </si>
  <si>
    <t>523 Scheffler, Cäcilia, Vorstand Kommunalunternehmen 1963</t>
  </si>
  <si>
    <t>524 Past, Dieter, Med.-technischer Laboratoriumsassistent 1959</t>
  </si>
  <si>
    <t>525 Spindler, Elke, Krankenschwester 1964</t>
  </si>
  <si>
    <t>526 Thiel, Axel, selbstständiger Kraftfahrer 1967</t>
  </si>
  <si>
    <t>527 Dr. Vente, Cornelia, Richterin 1975</t>
  </si>
  <si>
    <t>528 Thümling, Lukas, Fachinformatiker für Anwendungsentwicklung 1995</t>
  </si>
  <si>
    <t>529 Wunder, Miriam, stellv. Pflegedienstleitung 1979</t>
  </si>
  <si>
    <t>530 Scheufler, Peter, Dipl.-Tanzpädagoge 1984</t>
  </si>
  <si>
    <t>531 Feustel, Doris, Rentnerin 1949</t>
  </si>
  <si>
    <t>532 Neuendorf, Christoph, CNC-Maschineneinrichter 1969</t>
  </si>
  <si>
    <t>533 Leibßle, Tatjana, M.Sc. Chemikerin 1987</t>
  </si>
  <si>
    <t>534 Schindelmann, Pablo, M.Sc. Geschäftsführer 1967</t>
  </si>
  <si>
    <t>535 Herzing, Andrea, Ergotherapeutin 1974</t>
  </si>
  <si>
    <t>536 Endl, Klaus, Beamter a.D. 1949</t>
  </si>
  <si>
    <t>537 Pinkas, Sabine, DipI.-Verwaltungswirtin 1956</t>
  </si>
  <si>
    <t>538 Darkow, Heinz-Dieter, Dipl.-Ing. (TU), Rentner 1943</t>
  </si>
  <si>
    <t>539 Oberländer, Lena, Teamleiterin 1982</t>
  </si>
  <si>
    <t>540 Sipic, Christian, Bürokaufmann 1976</t>
  </si>
  <si>
    <t>401 Heimerl, David, Automobilkaufmann 1995</t>
  </si>
  <si>
    <t>402 Haller, Maximillian, Verfahrensmechaniker 1990</t>
  </si>
  <si>
    <t>403 Rammler, Roland, Versicherungsmakler 1959</t>
  </si>
  <si>
    <t>404 Kunzelmann, Max, Rentner 1946</t>
  </si>
  <si>
    <t>405 Diepold, Paul, Dipl.-Ing. (FH), Busfahrer 1975</t>
  </si>
  <si>
    <t>406 Böhm, Stefan, Geschäftsführer 1964</t>
  </si>
  <si>
    <t>407 Rammler, Romana, Metzgereifachverkäuferin 1992</t>
  </si>
  <si>
    <t>408 Martin, Renate, Rentnerin 1944</t>
  </si>
  <si>
    <t>409 Plank, Thomas, Rentner 1967</t>
  </si>
  <si>
    <t>410 Ostermann, Vanessa, med. Fachangestellte 1998</t>
  </si>
  <si>
    <t>101 Dr. Fichtner, Harald, Oberbürgermeister 1965</t>
  </si>
  <si>
    <t>102 Fleischer, Wolfgang, Vertriebsleiter, Stadtrat 1965</t>
  </si>
  <si>
    <t>103 Bier, Angela, Bankprokuristin, Stadträtin 1960</t>
  </si>
  <si>
    <t>104 Schrader, Ingrid, Intendantin, Stadträtin 1960</t>
  </si>
  <si>
    <t>105 Herpich, Christian, Metzgermeister, Stadtrat 1968</t>
  </si>
  <si>
    <t>106 Ulshöfer, Jochen, Rechtsanwalt, Stadtrat 1974</t>
  </si>
  <si>
    <t>107 Lockenvitz, Felix, Wirtschaftsingenieur, Stadtrat 1994</t>
  </si>
  <si>
    <t>108 Zeh, Dominik, Dipl.-Fitness Ökonom, Stadtrat 1977</t>
  </si>
  <si>
    <t>109 Steiner, Andrea, Beamtin 1969</t>
  </si>
  <si>
    <t>110 Mergner, Matthias, Polizeibeamter, Stadtrat 1979</t>
  </si>
  <si>
    <t>111 Bogler, Hilmar, Polizeibeamter i.R., Ortsteilsprecher 1955</t>
  </si>
  <si>
    <t>112 Knieling, Jürgen, Rentner, Stadtrat 1954</t>
  </si>
  <si>
    <t>113 Lentzen, Matthias, Bankangestellter, Stadtrat 1975</t>
  </si>
  <si>
    <t>114 Singer, Matthias, M.A. Polizeivollzugsbeamter, Stadtrat 1977</t>
  </si>
  <si>
    <t>115 Wietzel, Dieter, Fachoberlehrer, Stadtrat 1961</t>
  </si>
  <si>
    <t>116 Zwurtschek, Esther, Germanistin, Stadträtin 1956</t>
  </si>
  <si>
    <t>117 Brecht, Kerstin, Industriekauffrau 1970</t>
  </si>
  <si>
    <t>118 Hanschke, Maximilian, dualer Student 1999</t>
  </si>
  <si>
    <t>119 Schulze, Markus, selbstständiger Gastronom 1980</t>
  </si>
  <si>
    <t>120 Rädlein, Christina, Veranstaltungsleiterin 1991</t>
  </si>
  <si>
    <t>121 Infante, Claudia, Zollbeamtin 1975</t>
  </si>
  <si>
    <t>122 Schmalfuß, Stefan, Geschäftsführer 1973</t>
  </si>
  <si>
    <t>123 Puchta, Alexandra, Sozialversicherungskauffrau 1972</t>
  </si>
  <si>
    <t>124 Tsoungui Ekoumou, Aimé Florent, Dipl.-Ing. (TU) Dozent im IT-Bereich 1965</t>
  </si>
  <si>
    <t>125 Reuter, Eric, Rechtsanwalt 1977</t>
  </si>
  <si>
    <t>126 Maurer, Gerhard, Berufssoldat 1966</t>
  </si>
  <si>
    <t>127 Akbulut, Salih, Kfz-Meister 1970</t>
  </si>
  <si>
    <t>128 Gollwitzer, Kai, Rechtsanwalt 1970</t>
  </si>
  <si>
    <t>129 Müller, Anja, Referentin im Produktmanagement 1977</t>
  </si>
  <si>
    <t>130 Vogel, Thomas, Justizvollzugsbeamter 1961</t>
  </si>
  <si>
    <t>131 Kießling, Fatima, B.A. Wirtschaftsassistentin 1994</t>
  </si>
  <si>
    <t>132 Neumann, Lars, Justitiar 1979</t>
  </si>
  <si>
    <t>133 Kaminski, Gabriele, Lerntrainerin 1962</t>
  </si>
  <si>
    <t>134 Keilwitz, Klaus, Rentner 1953</t>
  </si>
  <si>
    <t>135 Goldmann, Julian, Student 1996</t>
  </si>
  <si>
    <t>136 Dr. Balaton, Attila, Arzt 1960</t>
  </si>
  <si>
    <t>137 Pfaff, Jochen, Polizeibeamter 1971</t>
  </si>
  <si>
    <t>138 Schaller, Anja, Studentin 1991</t>
  </si>
  <si>
    <t>139 Busch, Dieter, Brandschutzbeauftragter 1958</t>
  </si>
  <si>
    <t>140 Rauh, Volker, Bestatter 1961</t>
  </si>
  <si>
    <t>201 Kiehne, Gudrun, Dipl.-Verwaltungswirtin, Berufsberaterin für Menschen mit Behinderung 1956</t>
  </si>
  <si>
    <t>202 Auer, Sebastian, M.A. Umwelt- und Betriebswirt 1982</t>
  </si>
  <si>
    <t>203 Prenzel, Lena, Schülerin 2001</t>
  </si>
  <si>
    <t>204 Dr. Schrader, Klaus, Facharzt, Stadtrat 1955</t>
  </si>
  <si>
    <t>205 Klinger, Marion, Seminarrektorin 1954</t>
  </si>
  <si>
    <t>206 Reusch, Ralf, Dipl.-Betriebswirt (FH) Key Account Manager 1963</t>
  </si>
  <si>
    <t>207 Wagner, Waltraud, Beamtin 1953</t>
  </si>
  <si>
    <t>208 König, Swann, Student 1994</t>
  </si>
  <si>
    <t>209 Prell, Sabine, Dipl.-Sozialpädagogin (FH) 1967</t>
  </si>
  <si>
    <t>210 Kiehne, Walter, Dipl.-Ing.oec. 1960</t>
  </si>
  <si>
    <t>211 Popp, Pia, Krankenschwester 1973</t>
  </si>
  <si>
    <t>212 Dr. Künneth, Andreas, Arbeitsvermittler für Geflüchtete und Migranten 1960</t>
  </si>
  <si>
    <t>213 Dr. Heinz, lnge, Ärztin 1952</t>
  </si>
  <si>
    <t>214 Coler, Jürgen, Dipl.-Soz.päd. (FH) Sozialarbeiter, Supervisor 1962</t>
  </si>
  <si>
    <t>215 Häußinger, Sarah, Studentin 1997</t>
  </si>
  <si>
    <t>216 Dr. Nowak, Martin, Dipl.-Geologe 1983</t>
  </si>
  <si>
    <t>217 Siebert, Ulrike, Rentnerin, Dozentin 1950</t>
  </si>
  <si>
    <t>218 Edelmann, Karlheinz, Fachlehrer 1955</t>
  </si>
  <si>
    <t>219 Edelmann, Angelika, Rektorin, Lehrerin 1956</t>
  </si>
  <si>
    <t>220 Hofmann, Friedrich, Pfarrer i.R. 1934</t>
  </si>
  <si>
    <t>221 Hofmann, Barbara, Atempädagogin 1943</t>
  </si>
  <si>
    <t>222 Kallähne, Rainer, Braumeister i.R. 1943</t>
  </si>
  <si>
    <t>223 Peters, Claire, Dipl.-Kauffrau i.R., Dozentin i.R. 1945</t>
  </si>
  <si>
    <t>224 Herold, Klaus, Dipl.-Soz.päd. (FH) 1959</t>
  </si>
  <si>
    <t>225 Fuchs, Renate, Buchhändlerin 1958</t>
  </si>
  <si>
    <t>226 Herold, Johannes, Auszubildender 1993</t>
  </si>
  <si>
    <t>227 Sahin, Seda, Studentin 1993</t>
  </si>
  <si>
    <t>228 Schötz, Johann, Arzt 1954</t>
  </si>
  <si>
    <t>229 Hampel, Judith, M.A. Lehrkraft fiir Deutsch in Integrationskursen 1981</t>
  </si>
  <si>
    <t>230 Löhner, Rainer, Rentner 1949</t>
  </si>
  <si>
    <t>231 Wörhoff, Simone, Psychologin 1971</t>
  </si>
  <si>
    <t>232 Wolf, Marcus, Dipl.-Ing. (FH) Dipl.-lng. für Kartographie 1983</t>
  </si>
  <si>
    <t>233 Saalfrank, Lisa, Informatikstudentin 1994</t>
  </si>
  <si>
    <t>234 Kampfhenkel, Horst, Angestellter 1968</t>
  </si>
  <si>
    <t>235 Wolf, Susanne, Koordinatorin Internationale Bildungsprojekte 1981</t>
  </si>
  <si>
    <t>236 Brammer, Philipp, Schauspieler 1976</t>
  </si>
  <si>
    <t>237 Mohaupt, Angela, Geschäftsführerin 1967</t>
  </si>
  <si>
    <t>238 Buchberger, Michael, Dipl.-Kaufmann, Berater 1957</t>
  </si>
  <si>
    <t>239 Dr. Mörtl, Martin, Biologe 1971</t>
  </si>
  <si>
    <t>301 Bruns, Gudrun, Dipl.-Ing. (FH), Bauingenieurin, Stadträtin 1958</t>
  </si>
  <si>
    <t>302 Friedrich, Jan, Dipl.-Informatiker univ., Hochschullehrer 1981</t>
  </si>
  <si>
    <t>303 Gruner, Ralf, Dipl.-Betriebswirt (FH), Unternehmensberater 1976</t>
  </si>
  <si>
    <t>304 Fuchs, Heike, Datenbearbeiterin, Stadträtin 1962</t>
  </si>
  <si>
    <t>305 Rambacher, Albert, Oberstudienrat i.R., Stadtrat 1952</t>
  </si>
  <si>
    <t>306 Hübner, Heike, M.A., Kauffrau 1965</t>
  </si>
  <si>
    <t>307 Hübschmann, Michael, Dipl.-Ing. (FH), selbstständiger Versorgungstechniker, Stadtrat 1962</t>
  </si>
  <si>
    <t>308 Lüdtke, Ramona, M.Sc. Geschäftsführerin 1980</t>
  </si>
  <si>
    <t>309 Schinner, Thomas, Dipl.-Ing. (FH), Technischer Regierungsamtsrat 1970</t>
  </si>
  <si>
    <t>310 von Rücker, Jörg, Apotheker, Stadtrat 1971</t>
  </si>
  <si>
    <t>311 Laubmann, Runhild, Fachoberlehrerin i.R. 1944</t>
  </si>
  <si>
    <t>312 Dr. Dietrich, Maximilian, Allgemeinarzt, Stadtrat 1959</t>
  </si>
  <si>
    <t>313 Patzer, Matthias, Technischer Angestellter 1979</t>
  </si>
  <si>
    <t>314 Meringer, Reinhard, Seminarrektor i.R., Stadtrat 1947</t>
  </si>
  <si>
    <t>315 Schott, Thomas, Dipl.-Ing., Dipl.-Wirtschaftsing., Unternehmensberater 1965</t>
  </si>
  <si>
    <t>316 Fränkel, Willi, Dipl.-Verwaltungswirt (FH), Geschäftsführer a.D., Hauptschöffe am LG Hof 1953</t>
  </si>
  <si>
    <t>317 Schwuchow, Jörg, Berufseinstiegsbegleiter 1975</t>
  </si>
  <si>
    <t>318 Perchner, Falco, selbstständiger Physiotherapeut 1975</t>
  </si>
  <si>
    <t>319 Genes, Jeffrey, Mechatroniker für Kältetechnik 1992</t>
  </si>
  <si>
    <t>320 Fink, Udo, LL.M., Berufsbetreuer 1966</t>
  </si>
  <si>
    <t>321 Sonntag, Holger, Förderlehrer 1974</t>
  </si>
  <si>
    <t>322 Bruns, Jörg, Dipl.-Ing. (FH), Werkstooff-Ingenieur 1984</t>
  </si>
  <si>
    <t>323 Neumeyer, Axel, selbstständiger Kaufmann 1966</t>
  </si>
  <si>
    <t>324 Buchka, Martin, Marketing-Manager 1988</t>
  </si>
  <si>
    <t>325 Jacob, Jens, selbstständiger Bauunternehmer 1975</t>
  </si>
  <si>
    <t>326 Hübschmann, Monika, Industriekauffrau 1955</t>
  </si>
  <si>
    <t>327 Klein, Gislind, Studienrätin i.R. 1951</t>
  </si>
  <si>
    <t>328 Klaschka, Herbert, Kfz-Werkstattleiter i.R. 1943</t>
  </si>
  <si>
    <t>329 Leipold, Domenik, Verkäufer 1995</t>
  </si>
  <si>
    <t>330 Wunderer, Hermann, Rechtsanwalt 1962</t>
  </si>
  <si>
    <t>331 Nelkel, Volkhard, selbstständiger Change Manager 1956</t>
  </si>
  <si>
    <t>332 Scherdel, Bärbel, Bankkauffrau 1966</t>
  </si>
  <si>
    <t>333 Wiemann, Heinz, Dipl.-Finanzwirt (FH), Regierungsdirektor i.R. 1941</t>
  </si>
  <si>
    <t>334 Auffhammer, Christian, Rentner 1943</t>
  </si>
  <si>
    <t>Kommas</t>
  </si>
  <si>
    <t>Wahlvorschlag Nr. 01</t>
  </si>
  <si>
    <t>Wahlvorschlag Nr. 02</t>
  </si>
  <si>
    <t>Wahlvorschlag Nr. 03</t>
  </si>
  <si>
    <t>Wahlvorschlag Nr. 04</t>
  </si>
  <si>
    <t>Kennwort: AfD</t>
  </si>
  <si>
    <t>Kennwort: CSU</t>
  </si>
  <si>
    <t>Wahlvorschlag Nr. 05</t>
  </si>
  <si>
    <t>Kennwort: SPD</t>
  </si>
  <si>
    <t>Wahlvorschlag Nr. 07</t>
  </si>
  <si>
    <t>Wahlvorschlag Nr. 08</t>
  </si>
  <si>
    <t>Kennwort: DIE GRÜNEN</t>
  </si>
  <si>
    <t>X = angekreuzt</t>
  </si>
  <si>
    <t>Leer = nicht angekreuzt</t>
  </si>
  <si>
    <t>Kandidaten</t>
  </si>
  <si>
    <t>0 = gestrichen</t>
  </si>
  <si>
    <t>1 = 1 Stimme</t>
  </si>
  <si>
    <t>2 = 2 Stimmen</t>
  </si>
  <si>
    <t>3 = 3 Stimmen</t>
  </si>
  <si>
    <t>4 = 4 Stimmen</t>
  </si>
  <si>
    <t>usw.</t>
  </si>
  <si>
    <t>Spalte2</t>
  </si>
  <si>
    <t>Spalte3</t>
  </si>
  <si>
    <t>Löffler, Klaus, Steinbach a. Wald</t>
  </si>
  <si>
    <t>Hofmann, Angela, Kronach</t>
  </si>
  <si>
    <t>Fugmann, Sibylle, Kronach</t>
  </si>
  <si>
    <t>Liebhardt, Bernd, Kronach</t>
  </si>
  <si>
    <t>Baumgärtner, Jürgen, Wilhelmsthal</t>
  </si>
  <si>
    <t>Heinlein, Susanne, Pressig</t>
  </si>
  <si>
    <t>Rebhan, Hans, Küps</t>
  </si>
  <si>
    <t>Daum, Susanne, Teuschnitz</t>
  </si>
  <si>
    <t>Dr. Geissler, Jonas, Kronach</t>
  </si>
  <si>
    <t>Heyder, Jennifer, Ludwigsstadt</t>
  </si>
  <si>
    <t>Wunder, Gerhard, Steinwiesen</t>
  </si>
  <si>
    <t>Renner, Beate, Küps</t>
  </si>
  <si>
    <t>Heinlein, Reinhold, Pressig</t>
  </si>
  <si>
    <t>Fößel, Anna, Kronach</t>
  </si>
  <si>
    <t>Karl, Thomas, Kronach</t>
  </si>
  <si>
    <t>Jaklin, Sabine, Kronach</t>
  </si>
  <si>
    <t>Korn, Jens, Wallenfels</t>
  </si>
  <si>
    <t>Wiegand, Angela, Steinbach</t>
  </si>
  <si>
    <t>Plewa, Oliver, Mitwitz</t>
  </si>
  <si>
    <t>Fuchs, Mirjam, Kronach</t>
  </si>
  <si>
    <t>Kotschenreuther, Mario, Wilhelmsthal</t>
  </si>
  <si>
    <t>Zinner, Katharina, Pressig</t>
  </si>
  <si>
    <t>Ebertsch, Peter, Tettau</t>
  </si>
  <si>
    <t>Scherbel, Sabine, Kronach</t>
  </si>
  <si>
    <t>Schnappauf, Jörg, Kronach</t>
  </si>
  <si>
    <t>Weiß, Michaela, Kronach</t>
  </si>
  <si>
    <t>Dr. med. Brühl, Gerhard</t>
  </si>
  <si>
    <t>Treusch, Steffi, Küps</t>
  </si>
  <si>
    <t>Ranzenberger, Joachim, Stockheim</t>
  </si>
  <si>
    <t>Löffler, Thomas, Steinbach am Wald</t>
  </si>
  <si>
    <t>Wunder, Michael, Nordhalben</t>
  </si>
  <si>
    <t>Wellach, Claudia, Kronach</t>
  </si>
  <si>
    <t>Bohl, Michael, Weißenbrunn</t>
  </si>
  <si>
    <t>Swiduruk, Anita, Pressig</t>
  </si>
  <si>
    <t>Heinlein, Stefan, Pressig</t>
  </si>
  <si>
    <t>Knauer, Bianka, Mitwitz</t>
  </si>
  <si>
    <t>Rebhan, Bernd, Küps</t>
  </si>
  <si>
    <t>Kragler, Nathalie, Kronach</t>
  </si>
  <si>
    <t>Barnickel, Monika, Steinbach am Wald</t>
  </si>
  <si>
    <t>Müller, Eva Maria, Wallenfels</t>
  </si>
  <si>
    <t>Kotschenreuther, Marko, Steinwiesen</t>
  </si>
  <si>
    <t>Bayer, Anna, Stockheim</t>
  </si>
  <si>
    <t>Heinz, Carl-August, Tettau</t>
  </si>
  <si>
    <t>Krammel, Shawnee, Wilhelmsthal</t>
  </si>
  <si>
    <t>Dr. phil. Wachter, Robert, Kronach</t>
  </si>
  <si>
    <t>Beitzinger, Melanie, Wilhelmsthal</t>
  </si>
  <si>
    <t>von Künsberg, Hubertus, Küps</t>
  </si>
  <si>
    <t>Weiß, Anke, Steinbach am Wald</t>
  </si>
  <si>
    <t>Porzelt, Patricia, Küps</t>
  </si>
  <si>
    <t>Hausmann, Heinz, Kronach</t>
  </si>
  <si>
    <t>Pietrafesa, Elena, Wallenfels</t>
  </si>
  <si>
    <t>Queck, Maximilian, Tettau</t>
  </si>
  <si>
    <t>Dr. Hoffmann, Elisabeth, Kronach</t>
  </si>
  <si>
    <t>Pyka, Joshua, Kronach</t>
  </si>
  <si>
    <t>Heinlein, Barbara, Kronach</t>
  </si>
  <si>
    <t>Müller, Peter, kronach</t>
  </si>
  <si>
    <t>Memmel, Edith, Mitwitz</t>
  </si>
  <si>
    <t>Heller, Peter, Marktrodach</t>
  </si>
  <si>
    <t>Neubauer, Susanne, Kronach</t>
  </si>
  <si>
    <t>Martini, Markus, Marktrodach</t>
  </si>
  <si>
    <t>Sonanini, Sarah, Mitwitz</t>
  </si>
  <si>
    <t>Dr. Witton, Peter, Kronach</t>
  </si>
  <si>
    <t>Heinlein, Sophia, Kronach</t>
  </si>
  <si>
    <t>Zapf, Hubert, Pressig</t>
  </si>
  <si>
    <t>Hoffmann, Anne, Kronach</t>
  </si>
  <si>
    <t>Schäuble, Markus, Wilhelmsthal</t>
  </si>
  <si>
    <t>Heckel, Rosalie, Kronach</t>
  </si>
  <si>
    <t>Kluge, Franz, Tettau</t>
  </si>
  <si>
    <t>Hofmann, Ina, Küps</t>
  </si>
  <si>
    <t>Dr. Madinger, Jürgen, Kronach</t>
  </si>
  <si>
    <t>Thron, Luisa, Kronach</t>
  </si>
  <si>
    <t>Dr. Hoffmann, Reiner, Kronach</t>
  </si>
  <si>
    <t>Geipel, Christiane, Steinwiesen</t>
  </si>
  <si>
    <t>Hofmann, Lars, Stockheim</t>
  </si>
  <si>
    <t>Klinger, Theresa, Kronach</t>
  </si>
  <si>
    <t>Wesolek, Helmut, Kronach</t>
  </si>
  <si>
    <t>Röthlein, Christiane, Kronach</t>
  </si>
  <si>
    <t>Lach, Stefna, Kronach</t>
  </si>
  <si>
    <t>Schreiber-Dümlein, Eva, Kronach</t>
  </si>
  <si>
    <t>Pfadenhauer, Michael, Kronach</t>
  </si>
  <si>
    <t>Kaschner, Sabine, Kronach</t>
  </si>
  <si>
    <t>Schäfer, Hermann, Mitwitz</t>
  </si>
  <si>
    <t>Schedel, Birgit, Pressig</t>
  </si>
  <si>
    <t>Geiger, Markus, Kronach</t>
  </si>
  <si>
    <t>Dr. rer. Nat. Welsch-Pausch, Kerstin, Mitwitz</t>
  </si>
  <si>
    <t>Böhnlein, Helmut, Kronach</t>
  </si>
  <si>
    <t>Hertha, Jasmin, Mitwitz</t>
  </si>
  <si>
    <t>Klinger, Stefan, Kronach</t>
  </si>
  <si>
    <t>Rudolph-Wagner, Ulrike, Mitwitz</t>
  </si>
  <si>
    <t>Gundermann, Wolfgang, Mitwitz</t>
  </si>
  <si>
    <t>Mühlherr, Anke, Schneckenlohe</t>
  </si>
  <si>
    <t>Amm, Stephan, Kronach</t>
  </si>
  <si>
    <t>Köppl, Andrea, Mitwitz</t>
  </si>
  <si>
    <t>Dr. med. Rudpolh, Daniel, Mitwitz</t>
  </si>
  <si>
    <t>Glück, Doris, Kronach</t>
  </si>
  <si>
    <t>Kalb, Wolfgang, Marktrodach</t>
  </si>
  <si>
    <t>Wagner, Johannes, Mitwitz</t>
  </si>
  <si>
    <t>Mühlherr, Marius, Schneckenlohe</t>
  </si>
  <si>
    <t>Schedel, Josef, Pressig</t>
  </si>
  <si>
    <t>Köstner, Franz, Marktrodach</t>
  </si>
  <si>
    <t>Wicklein, Stefan, Kronach</t>
  </si>
  <si>
    <t>Vetter, Tino, Kronach</t>
  </si>
  <si>
    <t>Detsch, Rainer, Stockheim</t>
  </si>
  <si>
    <t>Löffler, Gerhard, Tettau</t>
  </si>
  <si>
    <t>Pietz, Hans, Pressig</t>
  </si>
  <si>
    <t>Beiergrößlein, Wolfgang, Kronach</t>
  </si>
  <si>
    <t>Steger, Bernd, Küps</t>
  </si>
  <si>
    <t>Hänel, Peter, Wallenfels</t>
  </si>
  <si>
    <t>Feuerpfeil, Hermann, Ludwigsstadt</t>
  </si>
  <si>
    <t>Katholing, Siegmund, Mitwitz</t>
  </si>
  <si>
    <t>Zipfel, Uwe, Steinbach am Wald</t>
  </si>
  <si>
    <t>Gräbner, Norbert, Marktrodach</t>
  </si>
  <si>
    <t>Wachter, Martin, Wilhelmsthal</t>
  </si>
  <si>
    <t>Gödel, Michael, Weißenbrunn</t>
  </si>
  <si>
    <t>Funk, Roland, Pressig</t>
  </si>
  <si>
    <t>Schnappauf, Harald, Tschirn</t>
  </si>
  <si>
    <t>Zwingmann, Michael, Kronach</t>
  </si>
  <si>
    <t>Häfner, Stefan, Stockheim</t>
  </si>
  <si>
    <t>Pöhnlein, Michael, Nordhalben</t>
  </si>
  <si>
    <t>Löffler, Carsten, Tettau</t>
  </si>
  <si>
    <t>Hiesl, Nikolai, Küps</t>
  </si>
  <si>
    <t>Hebentanz, Michael, Teuschnitz</t>
  </si>
  <si>
    <t>Clerico, Herbert, Wilhelmsthal</t>
  </si>
  <si>
    <t>Bayer, Barbara, Kronach</t>
  </si>
  <si>
    <t>Baierlein, Elisabeth, Stockheim</t>
  </si>
  <si>
    <t>Götz, Wolfgang, Mitwitz</t>
  </si>
  <si>
    <t>Holzmann, Ingo, Pressig</t>
  </si>
  <si>
    <t>Haase, Johannes, Ludwigsstadt</t>
  </si>
  <si>
    <t>Bähr, Hubert, Marktrodach</t>
  </si>
  <si>
    <t>Zipfel, Laura, Steinbach am Wald</t>
  </si>
  <si>
    <t>Detsch, Uwe, Wallenfels</t>
  </si>
  <si>
    <t>Meusel, Heiko, Küps</t>
  </si>
  <si>
    <t>Kreul, Dirk, Weidenbach</t>
  </si>
  <si>
    <t>Müller, Thomas, Pressig</t>
  </si>
  <si>
    <t>Sesselmann, Gerhard, Küps</t>
  </si>
  <si>
    <t>Söllner, Cordula, Tettau</t>
  </si>
  <si>
    <t>Heidenbluth, Martin, Mitwitz</t>
  </si>
  <si>
    <t>Klinger, Hedwig, Stockheim</t>
  </si>
  <si>
    <t>Wicklein, Carolin, Kronach</t>
  </si>
  <si>
    <t>Spindler, Christian, Weißenbrunn</t>
  </si>
  <si>
    <t>Bauersachs, Harald, Mitwitz</t>
  </si>
  <si>
    <t>Hühnlein, Karl-Heinz, Küps</t>
  </si>
  <si>
    <t>Wohlfahrt, Andreas, Ludwigsstadt</t>
  </si>
  <si>
    <t>Jaros, Rudolf, Stockheim</t>
  </si>
  <si>
    <t>Christel, Anette, Tettau</t>
  </si>
  <si>
    <t>Bayer, Winfried, Mitwitz</t>
  </si>
  <si>
    <t>Fiedler, Andrea, Kronach</t>
  </si>
  <si>
    <t>Schick, Jens, Kronach</t>
  </si>
  <si>
    <t>Redwitz, Bernd, Weißenbrunn</t>
  </si>
  <si>
    <t>Linke, Michael, Marktrodach</t>
  </si>
  <si>
    <t>Kennwort: FRAUENLISTE</t>
  </si>
  <si>
    <t>Ehrhardt, Timo, Ludwigsstadt</t>
  </si>
  <si>
    <t>Grebner, Susanne, Wilhelmsthal</t>
  </si>
  <si>
    <t>Dr. Pohl, Ralf, Küps</t>
  </si>
  <si>
    <t>Gross, Sabine, Kronach</t>
  </si>
  <si>
    <t>Kennwort: FREIE WÄHLER</t>
  </si>
  <si>
    <t>Skall, Oliver, Marktrodach</t>
  </si>
  <si>
    <t>Stein, Diana, Steinbach am Wald</t>
  </si>
  <si>
    <t>Neubauer, Jörg, Weißenbrunn</t>
  </si>
  <si>
    <t>Dr.-Ing. Völkl, Ralf, Kronach</t>
  </si>
  <si>
    <t>Kern, Oliver, Mitwitz</t>
  </si>
  <si>
    <t>Schmidt, Dietmar, Tettau</t>
  </si>
  <si>
    <t>Dr. Köhler, Heinz, Mitwitz</t>
  </si>
  <si>
    <t>Hansen, Heidi, Kronach</t>
  </si>
  <si>
    <t>Franz, Michael, Nordhalben</t>
  </si>
  <si>
    <t>Friedlein, Thomas, Küps</t>
  </si>
  <si>
    <t>Förtsch, Wolfgang, Pressig</t>
  </si>
  <si>
    <t>Buckreus, Wallenfels, Wallenfels</t>
  </si>
  <si>
    <t>Ziener, Mario, Ludwigsstadt</t>
  </si>
  <si>
    <t>Bayer, Karin, Teuschnitz</t>
  </si>
  <si>
    <t>Schnappauf, Michael, Tschirn</t>
  </si>
  <si>
    <t>Geiger, Brigitte, Steinwiesen</t>
  </si>
  <si>
    <t>Welsch, Markus, Kronach</t>
  </si>
  <si>
    <t>Morgenroth, Knut, Schneckenlohe</t>
  </si>
  <si>
    <t>Friedlein, Norbert, Marktrodach</t>
  </si>
  <si>
    <t>Neumann, Wolfgang, Küps</t>
  </si>
  <si>
    <t>Grüdl, Peter, Steinbach am Wald</t>
  </si>
  <si>
    <t>Tölg, Ruth, Weißenbrunn</t>
  </si>
  <si>
    <t>Mossmann, Thilo, Kronach</t>
  </si>
  <si>
    <t>Ruß, Hubert, Tettau</t>
  </si>
  <si>
    <t>Unglaub, Robert, Steinwiesen</t>
  </si>
  <si>
    <t>Pütterich, Michael, Pressig</t>
  </si>
  <si>
    <t>Kraus, Fabian, Küps</t>
  </si>
  <si>
    <t>Heinisch, Ingrid, Kronach</t>
  </si>
  <si>
    <t>Seegenschmidt, Michael, Kronach</t>
  </si>
  <si>
    <t>Hohner, Melanie, Marktrodach</t>
  </si>
  <si>
    <t>Wachter, Julian, Nordhalben</t>
  </si>
  <si>
    <t>Dunst, Edgar, Kronach</t>
  </si>
  <si>
    <t>Güntsch, Willi, Tettau</t>
  </si>
  <si>
    <t>Schmitt, Wolfgang, Pressig</t>
  </si>
  <si>
    <t>Schwarz, Reiner, Küps</t>
  </si>
  <si>
    <t>Ritter, Karin, Reichenbach</t>
  </si>
  <si>
    <t>Herrmann, Egon, Weißenbrunn</t>
  </si>
  <si>
    <t>Krause, Ulf, Kronach</t>
  </si>
  <si>
    <t>Stingl, Mario, Teuschnitz</t>
  </si>
  <si>
    <t>Wich-Heiter, Helmut, Marktrodach</t>
  </si>
  <si>
    <t>Simon, Hans, Kronach</t>
  </si>
  <si>
    <t>Bischoff, Hubert, Ludwigsstadt</t>
  </si>
  <si>
    <t>Roth, Jörg, Stockheim</t>
  </si>
  <si>
    <t>Pohl, Fritz, Küps</t>
  </si>
  <si>
    <t>Simon, Klaus, Kronach</t>
  </si>
  <si>
    <t>Rauh, Richard, Steinwiesen</t>
  </si>
  <si>
    <t>Zenkel-Schirmer, Petra, Küps</t>
  </si>
  <si>
    <t>Gerstner, Maria, Stockheim</t>
  </si>
  <si>
    <t>Wolf-Mertensmeyer, Silke, Kronach</t>
  </si>
  <si>
    <t>Degen, Angela, Kronach</t>
  </si>
  <si>
    <t>Zwosta, Martina, Kronach</t>
  </si>
  <si>
    <t>Köstner, Petra, Küps</t>
  </si>
  <si>
    <t>Alt, Verena, Pressig</t>
  </si>
  <si>
    <t>Wich-Knoten, Petra, Marktrodach</t>
  </si>
  <si>
    <t>Mildenberger, Birgit, Steinbach am Wald</t>
  </si>
  <si>
    <t>Schmidt, Beate, Teuschnitz</t>
  </si>
  <si>
    <t>Neder-Guth, Ingrid, Kronach</t>
  </si>
  <si>
    <t>Mielke, Izel Ümit, Kronach</t>
  </si>
  <si>
    <t>Petersam, Gabriele, Tettau</t>
  </si>
  <si>
    <t>Schmögner, Lujza, Kronach</t>
  </si>
  <si>
    <t>Schnappauf, Hedwig, Teuschnitz</t>
  </si>
  <si>
    <t>Schulze, Rosl, Kronach</t>
  </si>
  <si>
    <t>Engelhardt, Monika, Wilhelmsthal</t>
  </si>
  <si>
    <t>Mölter, Luitgard, Kronach</t>
  </si>
  <si>
    <t>Minutella, Latife, Kronach</t>
  </si>
  <si>
    <t>Schäuble, Beate, Kronach</t>
  </si>
  <si>
    <t>Weber, Karin, Ludwigsstadt</t>
  </si>
  <si>
    <t>Alfort, Sabine, Kronach</t>
  </si>
  <si>
    <t>Schülein, Kerstin, Teuschnitz</t>
  </si>
  <si>
    <t>Müller, Yvonne, Teuschnitz</t>
  </si>
  <si>
    <t>Mielke, Edith, Marktrodach</t>
  </si>
  <si>
    <t>Hurec-Diaczyszyn, Christina, Stockheim</t>
  </si>
  <si>
    <t>Fehn-Maisel, Christel, Tettau</t>
  </si>
  <si>
    <t>Klumpp, Hella, Küps</t>
  </si>
  <si>
    <t>Lenker, Ulrike, Kronach</t>
  </si>
  <si>
    <t>Klinger, Katrin, Küps</t>
  </si>
  <si>
    <t>Schenk, Melanie, Kronach</t>
  </si>
  <si>
    <t>Bauerfeind, Tamara, Kronach</t>
  </si>
  <si>
    <t>Förtsch, Martina, Reichenbach</t>
  </si>
  <si>
    <t>Gutschmidt, Ute, Wilhelmsthal</t>
  </si>
  <si>
    <t>Gwosdek, Mirjam, Stockheim</t>
  </si>
  <si>
    <t>Meserth, Katrin, Marktrodach</t>
  </si>
  <si>
    <t>Hanft, Susanne, Kronach</t>
  </si>
  <si>
    <t>Weschenfelder, Stefanie, Pressig</t>
  </si>
  <si>
    <t>Lux, Paula, Kronach</t>
  </si>
  <si>
    <t>Schwaß, Sigrid, Kronach</t>
  </si>
  <si>
    <t>Stenglein, Ofelia, Kronach</t>
  </si>
  <si>
    <t>de Figueiredo-Huth, Lucia, Kronach</t>
  </si>
  <si>
    <t>Steinhäußer, Ingrid, Kronach</t>
  </si>
  <si>
    <t>Vormbrock, Cornelie, Küps</t>
  </si>
  <si>
    <t>Dr. Preißinger, Weißenbrunn</t>
  </si>
  <si>
    <t>Scheler, Elke, Küps</t>
  </si>
  <si>
    <t>Nerlich, Sieglinde, Kronach</t>
  </si>
  <si>
    <t>Wollner, Sigrid, Küps</t>
  </si>
  <si>
    <t>Jakob-Staritz, Kronach</t>
  </si>
  <si>
    <t>Oswald, Ingrid, Kronach</t>
  </si>
  <si>
    <t>Kennwort: Junge Union</t>
  </si>
  <si>
    <t>Oesterlein, Markus, Kronach</t>
  </si>
  <si>
    <t>Rüger, Tina-Christin, Kronach</t>
  </si>
  <si>
    <t>Wicklein, Tobias, Steinbach am Wald</t>
  </si>
  <si>
    <t>Wunder, Marie-Therese, Kronach</t>
  </si>
  <si>
    <t>Zeitler, Matthias, Wallenfels</t>
  </si>
  <si>
    <t>Stingl, Veronika, Wilhelmsthal</t>
  </si>
  <si>
    <t>Rebhan, Luisa, Küps</t>
  </si>
  <si>
    <t>Eichhorn, Nicolas, Ludwigsstadt</t>
  </si>
  <si>
    <t>Christel, Annemarie, Tettau</t>
  </si>
  <si>
    <t>Weissbach, Lucas, Stockheim</t>
  </si>
  <si>
    <t>Löffler, Lea, Steinbach am Wald</t>
  </si>
  <si>
    <t>Heinlein, Tobias, Steinbach am Wald</t>
  </si>
  <si>
    <t>Treusch, Theresa, Küps</t>
  </si>
  <si>
    <t>Hannweber, Viola, Weißenbrunn</t>
  </si>
  <si>
    <t>Fleischmann, Tanja, Pressig</t>
  </si>
  <si>
    <t>Müller, Michael, Kronach</t>
  </si>
  <si>
    <t>Foidl, Matthias, Kronach</t>
  </si>
  <si>
    <t>Schütz, Lea, Wallenfels</t>
  </si>
  <si>
    <t>Bittner, Marius, Küps</t>
  </si>
  <si>
    <t>Weiß, Markus, Mitwitz</t>
  </si>
  <si>
    <t>Zehnter, Katrin, Stockheim</t>
  </si>
  <si>
    <t>Welscher, Dominic, Steinwiesen</t>
  </si>
  <si>
    <t>Grundei, Torsten, Wallenfels</t>
  </si>
  <si>
    <t>Treuner, Mirja, Pressig</t>
  </si>
  <si>
    <t>Gratzke, Kerstin, Kronach</t>
  </si>
  <si>
    <t>Martin, David, Ludwigsstadt</t>
  </si>
  <si>
    <t>Neubauer, Lukas, Teuschnitz</t>
  </si>
  <si>
    <t>Wagner, Fabian, Nordhalben</t>
  </si>
  <si>
    <t>Scherbel, Alexandra, Kronach</t>
  </si>
  <si>
    <t>Binder, Felix, Kronach</t>
  </si>
  <si>
    <t>Häublein, Isabella, kronach</t>
  </si>
  <si>
    <t>Eschrich, Sebastian, Tettau</t>
  </si>
  <si>
    <t>Kropf, Maximilian, Marktrodach</t>
  </si>
  <si>
    <t>Wich, Niclas, Steinwiesen</t>
  </si>
  <si>
    <t>Hugel, Maximilian, Kronach</t>
  </si>
  <si>
    <t>Kestel, Elisabeth, kronach</t>
  </si>
  <si>
    <t>Großmann, Florian, Ludwigsstadt</t>
  </si>
  <si>
    <t>Hummel, Jannik, Schneckenlohe</t>
  </si>
  <si>
    <t>Holzmann, Thomas, Tschirn</t>
  </si>
  <si>
    <t>Kropf, Sebastian, Marktrodach</t>
  </si>
  <si>
    <t>Brettel, Christoph, Mitwitz</t>
  </si>
  <si>
    <t>Rebhan, Lena, Küps</t>
  </si>
  <si>
    <t>Iuliano, Raffaele, Steinbach am Wald</t>
  </si>
  <si>
    <t>Walter, Lukas, kronach</t>
  </si>
  <si>
    <t>Gratzke, Sebastian, Weißenbrunn</t>
  </si>
  <si>
    <t>Wich, Sebastian, Stockheim</t>
  </si>
  <si>
    <t>Bayer, Felix, Stockheim</t>
  </si>
  <si>
    <t>Oesterlein, Caroline, Kronach</t>
  </si>
  <si>
    <t>Kreul, Elias, Küps</t>
  </si>
  <si>
    <t>Wicklein, Felix, Steinbach am Wald</t>
  </si>
  <si>
    <t>So etwas wählt man nicht!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</si>
</sst>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0;;&quot;strich&quot;"/>
  </numFmts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0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6CCE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7">
    <xf numFmtId="0" fontId="0" fillId="0" borderId="0"/>
    <xf numFmtId="0" fontId="1" fillId="3" borderId="1" applyNumberFormat="0" applyAlignment="0" applyProtection="0"/>
    <xf numFmtId="0" fontId="2" fillId="2" borderId="1" applyNumberFormat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3" fillId="6" borderId="0" applyFill="0" applyBorder="0">
      <alignment vertical="center"/>
    </xf>
    <xf numFmtId="165" fontId="6" fillId="0" borderId="7" applyFont="0" applyFill="0">
      <alignment horizontal="center" vertical="center" wrapText="1"/>
      <protection locked="0"/>
    </xf>
    <xf numFmtId="164" fontId="4" fillId="6" borderId="0" applyBorder="0">
      <alignment horizontal="center" vertical="top"/>
    </xf>
  </cellStyleXfs>
  <cellXfs count="74">
    <xf numFmtId="0" fontId="0" fillId="0" borderId="0" xfId="0"/>
    <xf numFmtId="0" fontId="0" fillId="4" borderId="0" xfId="0" applyFill="1"/>
    <xf numFmtId="0" fontId="3" fillId="6" borderId="0" xfId="4">
      <alignment vertical="center"/>
    </xf>
    <xf numFmtId="0" fontId="3" fillId="0" borderId="0" xfId="3">
      <alignment horizontal="center" vertical="center"/>
    </xf>
    <xf numFmtId="164" fontId="4" fillId="6" borderId="0" xfId="6">
      <alignment horizontal="center" vertical="top"/>
    </xf>
    <xf numFmtId="0" fontId="5" fillId="7" borderId="0" xfId="0" applyFont="1" applyFill="1"/>
    <xf numFmtId="164" fontId="4" fillId="6" borderId="0" xfId="0" applyNumberFormat="1" applyFont="1" applyFill="1" applyAlignment="1" applyProtection="1">
      <alignment horizontal="center" vertical="top"/>
    </xf>
    <xf numFmtId="165" fontId="6" fillId="6" borderId="7" xfId="5" applyFill="1">
      <alignment horizontal="center" vertical="center" wrapText="1"/>
      <protection locked="0"/>
    </xf>
    <xf numFmtId="165" fontId="6" fillId="0" borderId="7" xfId="5">
      <alignment horizontal="center" vertical="center" wrapText="1"/>
      <protection locked="0"/>
    </xf>
    <xf numFmtId="0" fontId="0" fillId="0" borderId="0" xfId="0" applyFill="1"/>
    <xf numFmtId="0" fontId="3" fillId="6" borderId="0" xfId="0" applyNumberFormat="1" applyFont="1" applyFill="1" applyAlignment="1" applyProtection="1">
      <alignment wrapText="1"/>
    </xf>
    <xf numFmtId="0" fontId="0" fillId="0" borderId="0" xfId="0" applyFill="1" applyBorder="1"/>
    <xf numFmtId="164" fontId="4" fillId="6" borderId="0" xfId="6" applyBorder="1">
      <alignment horizontal="center" vertical="top"/>
    </xf>
    <xf numFmtId="0" fontId="7" fillId="9" borderId="3" xfId="0" applyFont="1" applyFill="1" applyBorder="1"/>
    <xf numFmtId="0" fontId="0" fillId="0" borderId="0" xfId="0" applyNumberFormat="1" applyFill="1"/>
    <xf numFmtId="164" fontId="4" fillId="6" borderId="0" xfId="6" applyNumberFormat="1">
      <alignment horizontal="center" vertical="top"/>
    </xf>
    <xf numFmtId="0" fontId="0" fillId="5" borderId="2" xfId="0" applyNumberFormat="1" applyFill="1" applyBorder="1" applyAlignment="1">
      <alignment horizontal="center" vertical="center" wrapText="1"/>
    </xf>
    <xf numFmtId="0" fontId="0" fillId="12" borderId="0" xfId="0" applyFill="1"/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65" fontId="11" fillId="0" borderId="7" xfId="5" applyFont="1" applyFill="1">
      <alignment horizontal="center" vertical="center" wrapText="1"/>
      <protection locked="0"/>
    </xf>
    <xf numFmtId="0" fontId="4" fillId="6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6" borderId="0" xfId="0" applyNumberFormat="1" applyFont="1" applyFill="1" applyAlignment="1" applyProtection="1">
      <alignment wrapText="1"/>
    </xf>
    <xf numFmtId="164" fontId="14" fillId="6" borderId="0" xfId="0" applyNumberFormat="1" applyFont="1" applyFill="1" applyAlignment="1" applyProtection="1">
      <alignment horizontal="center" vertical="top"/>
    </xf>
    <xf numFmtId="0" fontId="0" fillId="0" borderId="0" xfId="0" applyNumberFormat="1"/>
    <xf numFmtId="0" fontId="3" fillId="6" borderId="0" xfId="4" applyAlignment="1"/>
    <xf numFmtId="0" fontId="13" fillId="6" borderId="0" xfId="0" applyNumberFormat="1" applyFont="1" applyFill="1" applyAlignment="1" applyProtection="1"/>
    <xf numFmtId="0" fontId="0" fillId="0" borderId="0" xfId="0" applyAlignment="1"/>
    <xf numFmtId="0" fontId="0" fillId="12" borderId="0" xfId="0" applyFill="1" applyAlignment="1"/>
    <xf numFmtId="0" fontId="3" fillId="6" borderId="0" xfId="4" applyFont="1" applyAlignment="1"/>
    <xf numFmtId="0" fontId="3" fillId="6" borderId="0" xfId="0" applyNumberFormat="1" applyFont="1" applyFill="1" applyAlignment="1" applyProtection="1"/>
    <xf numFmtId="0" fontId="3" fillId="0" borderId="0" xfId="4" applyFill="1" applyAlignment="1">
      <alignment vertical="center"/>
    </xf>
    <xf numFmtId="165" fontId="11" fillId="0" borderId="7" xfId="5" applyFont="1" applyFill="1" applyBorder="1">
      <alignment horizontal="center" vertical="center" wrapText="1"/>
      <protection locked="0"/>
    </xf>
    <xf numFmtId="0" fontId="0" fillId="12" borderId="7" xfId="0" applyFill="1" applyBorder="1"/>
    <xf numFmtId="0" fontId="3" fillId="6" borderId="0" xfId="4" applyAlignment="1">
      <alignment vertical="center"/>
    </xf>
    <xf numFmtId="0" fontId="0" fillId="12" borderId="8" xfId="0" applyFill="1" applyBorder="1"/>
    <xf numFmtId="0" fontId="16" fillId="13" borderId="0" xfId="0" applyFont="1" applyFill="1"/>
    <xf numFmtId="0" fontId="4" fillId="13" borderId="0" xfId="0" applyFont="1" applyFill="1"/>
    <xf numFmtId="0" fontId="0" fillId="12" borderId="0" xfId="0" applyFill="1" applyBorder="1"/>
    <xf numFmtId="165" fontId="6" fillId="0" borderId="7" xfId="5" applyFill="1">
      <alignment horizontal="center" vertical="center" wrapText="1"/>
      <protection locked="0"/>
    </xf>
    <xf numFmtId="0" fontId="7" fillId="6" borderId="0" xfId="4" applyFont="1" applyAlignment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5" fillId="15" borderId="4" xfId="0" applyFont="1" applyFill="1" applyBorder="1" applyAlignment="1">
      <alignment horizontal="left" vertical="center" wrapText="1"/>
    </xf>
    <xf numFmtId="0" fontId="15" fillId="15" borderId="5" xfId="0" applyFont="1" applyFill="1" applyBorder="1" applyAlignment="1">
      <alignment horizontal="left" vertical="center"/>
    </xf>
    <xf numFmtId="0" fontId="15" fillId="15" borderId="6" xfId="0" applyFont="1" applyFill="1" applyBorder="1" applyAlignment="1">
      <alignment horizontal="left" vertical="center"/>
    </xf>
    <xf numFmtId="0" fontId="10" fillId="16" borderId="4" xfId="0" applyFont="1" applyFill="1" applyBorder="1" applyAlignment="1">
      <alignment horizontal="left" vertical="center" wrapText="1"/>
    </xf>
    <xf numFmtId="0" fontId="10" fillId="16" borderId="5" xfId="0" applyFont="1" applyFill="1" applyBorder="1" applyAlignment="1">
      <alignment horizontal="left" vertical="center"/>
    </xf>
    <xf numFmtId="0" fontId="10" fillId="16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 wrapText="1"/>
    </xf>
    <xf numFmtId="0" fontId="10" fillId="14" borderId="5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</cellXfs>
  <cellStyles count="7">
    <cellStyle name="Berechnung" xfId="2" builtinId="22" customBuiltin="1"/>
    <cellStyle name="Eingabe" xfId="1" builtinId="20" customBuiltin="1"/>
    <cellStyle name="Name" xfId="4"/>
    <cellStyle name="Platz" xfId="3"/>
    <cellStyle name="Standard" xfId="0" builtinId="0" customBuiltin="1"/>
    <cellStyle name="Stimmen" xfId="6"/>
    <cellStyle name="Wahl" xfId="5"/>
  </cellStyles>
  <dxfs count="14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numFmt numFmtId="164" formatCode="0;;"/>
    </dxf>
    <dxf>
      <numFmt numFmtId="0" formatCode="General"/>
      <fill>
        <patternFill patternType="none">
          <fgColor indexed="64"/>
          <bgColor indexed="65"/>
        </patternFill>
      </fill>
    </dxf>
    <dxf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164" formatCode="0;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;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color theme="0"/>
      </font>
      <border>
        <top style="thin">
          <color theme="0"/>
        </top>
      </border>
    </dxf>
    <dxf>
      <font>
        <b/>
        <i val="0"/>
        <strike/>
        <color rgb="FF0000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border>
        <top style="thin">
          <color theme="0"/>
        </top>
      </border>
    </dxf>
    <dxf>
      <font>
        <color theme="0"/>
      </font>
      <border>
        <top style="thin">
          <color theme="0"/>
        </top>
      </border>
    </dxf>
    <dxf>
      <font>
        <color theme="0"/>
      </font>
      <border>
        <top style="thin">
          <color theme="0"/>
        </top>
      </border>
    </dxf>
    <dxf>
      <font>
        <color theme="0"/>
      </font>
      <border>
        <top style="thin">
          <color theme="0"/>
        </top>
      </border>
    </dxf>
    <dxf>
      <font>
        <color theme="0"/>
      </font>
      <border>
        <top style="thin">
          <color theme="0"/>
        </top>
      </border>
    </dxf>
    <dxf>
      <font>
        <b/>
        <i val="0"/>
        <strike/>
        <color rgb="FF0000FF"/>
      </font>
    </dxf>
    <dxf>
      <font>
        <color theme="0"/>
      </font>
      <border>
        <top style="thin">
          <color theme="0"/>
        </top>
      </border>
    </dxf>
    <dxf>
      <font>
        <b/>
        <i val="0"/>
        <strike/>
        <color rgb="FF0000FF"/>
      </font>
    </dxf>
    <dxf>
      <font>
        <b/>
        <i val="0"/>
        <strike/>
        <color rgb="FF0000FF"/>
      </font>
    </dxf>
    <dxf>
      <font>
        <b/>
        <i val="0"/>
        <strike/>
        <color rgb="FF0000FF"/>
      </font>
    </dxf>
    <dxf>
      <font>
        <b/>
        <i val="0"/>
        <strike/>
        <color rgb="FF0000FF"/>
      </font>
    </dxf>
    <dxf>
      <font>
        <b/>
        <i val="0"/>
        <strike/>
        <color rgb="FF0000FF"/>
      </font>
    </dxf>
    <dxf>
      <font>
        <color theme="0"/>
      </font>
      <border>
        <top style="thin">
          <color theme="0"/>
        </top>
      </border>
    </dxf>
    <dxf>
      <font>
        <color theme="0"/>
      </font>
      <border>
        <top style="thin">
          <color theme="0"/>
        </top>
      </border>
    </dxf>
    <dxf>
      <font>
        <b/>
        <i val="0"/>
        <strike/>
        <color rgb="FF0000FF"/>
      </font>
    </dxf>
    <dxf>
      <font>
        <b/>
        <i val="0"/>
        <strike/>
        <color rgb="FF0000FF"/>
      </font>
    </dxf>
    <dxf>
      <font>
        <color theme="0"/>
      </font>
      <border>
        <top style="thin">
          <color theme="0"/>
        </top>
      </border>
    </dxf>
    <dxf>
      <font>
        <b/>
        <i val="0"/>
        <strike/>
        <color rgb="FF0000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border>
        <top style="thin">
          <color theme="0"/>
        </top>
      </border>
    </dxf>
    <dxf>
      <fill>
        <patternFill>
          <bgColor theme="3" tint="0.59996337778862885"/>
        </patternFill>
      </fill>
    </dxf>
    <dxf>
      <font>
        <b/>
        <i val="0"/>
        <strike/>
        <color rgb="FF0000FF"/>
      </font>
    </dxf>
    <dxf>
      <fill>
        <patternFill>
          <bgColor theme="2" tint="-0.24994659260841701"/>
        </patternFill>
      </fill>
      <border>
        <left style="thin">
          <color auto="1"/>
        </left>
      </border>
    </dxf>
    <dxf>
      <fill>
        <patternFill>
          <bgColor theme="0" tint="-0.14996795556505021"/>
        </patternFill>
      </fill>
      <border>
        <left style="thin">
          <color auto="1"/>
        </left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0.14996795556505021"/>
        </vertical>
        <horizontal/>
      </border>
    </dxf>
    <dxf>
      <fill>
        <patternFill>
          <bgColor rgb="FF00B050"/>
        </patternFill>
      </fill>
    </dxf>
    <dxf>
      <fill>
        <patternFill patternType="none">
          <fgColor indexed="64"/>
          <bgColor auto="1"/>
        </patternFill>
      </fill>
    </dxf>
    <dxf>
      <font>
        <b/>
        <color theme="1"/>
      </font>
    </dxf>
    <dxf>
      <font>
        <b/>
        <i val="0"/>
        <color rgb="FF0000FF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auto="1"/>
        </bottom>
      </border>
    </dxf>
    <dxf>
      <font>
        <color theme="1"/>
      </font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/>
        <horizontal style="thin">
          <color auto="1"/>
        </horizontal>
      </border>
    </dxf>
  </dxfs>
  <tableStyles count="2" defaultTableStyle="TableStyleMedium2" defaultPivotStyle="PivotStyleLight16">
    <tableStyle name="TableStyleLight17 2" pivot="0" count="7">
      <tableStyleElement type="wholeTable" dxfId="147"/>
      <tableStyleElement type="headerRow" dxfId="146"/>
      <tableStyleElement type="totalRow" dxfId="145"/>
      <tableStyleElement type="firstColumn" dxfId="144"/>
      <tableStyleElement type="lastColumn" dxfId="143"/>
      <tableStyleElement type="firstRowStripe" dxfId="142"/>
      <tableStyleElement type="firstColumnStripe" dxfId="141"/>
    </tableStyle>
    <tableStyle name="TableStyleLight9 2" pivot="0" count="9">
      <tableStyleElement type="wholeTable" dxfId="140"/>
      <tableStyleElement type="headerRow" dxfId="139"/>
      <tableStyleElement type="totalRow" dxfId="138"/>
      <tableStyleElement type="firstColumn" dxfId="137"/>
      <tableStyleElement type="lastColumn" dxfId="136"/>
      <tableStyleElement type="firstRowStripe" dxfId="135"/>
      <tableStyleElement type="secondRowStripe" dxfId="134"/>
      <tableStyleElement type="firstColumnStripe" size="3" dxfId="133"/>
      <tableStyleElement type="secondColumnStripe" dxfId="132"/>
    </tableStyle>
  </tableStyles>
  <colors>
    <mruColors>
      <color rgb="FF46CCEC"/>
      <color rgb="FFFFD757"/>
      <color rgb="FFFF3355"/>
      <color rgb="FFB0001D"/>
      <color rgb="FFB00000"/>
      <color rgb="FF0000FF"/>
      <color rgb="FFFFE38B"/>
      <color rgb="FFD4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e01" displayName="Liste01" ref="E4:P55" totalsRowCount="1" headerRowDxfId="95">
  <sortState ref="E7:L14">
    <sortCondition ref="F6:F14"/>
  </sortState>
  <tableColumns count="12">
    <tableColumn id="1" name="Wahl" totalsRowFunction="sum" totalsRowDxfId="94" dataCellStyle="Wahl"/>
    <tableColumn id="2" name="Platz" totalsRowDxfId="93" dataCellStyle="Platz"/>
    <tableColumn id="3" name="Name" totalsRowDxfId="92" dataCellStyle="Name"/>
    <tableColumn id="11" name="IstGestrichen" dataCellStyle="Standard">
      <calculatedColumnFormula>AND((Liste01[[#This Row],[Wahl]]=0),LEN(Liste01[[#This Row],[Wahl]])=1)</calculatedColumnFormula>
    </tableColumn>
    <tableColumn id="7" name="Mult" dataCellStyle="Standard">
      <calculatedColumnFormula array="1">SUM((ROW(Liste01[Platz])&lt;=ROW())*(Liste01[Platz]=Liste01[[#This Row],[Platz]])*NOT(Liste01[IstGestrichen]))*NOT(Liste01[[#This Row],[IstGestrichen]])</calculatedColumnFormula>
    </tableColumn>
    <tableColumn id="10" name="GülzST2" totalsRowFunction="sum" dataCellStyle="Standard">
      <calculatedColumnFormula array="1">MIN(SUMIFS(Liste01[Wahl],Liste01[Platz],Liste01[[#This Row],[Platz]]),3)</calculatedColumnFormula>
    </tableColumn>
    <tableColumn id="6" name="ListPot" totalsRowFunction="sum" dataCellStyle="Standard">
      <calculatedColumnFormula>(Liste01[[#This Row],[Mult]]&gt;Liste01[[#This Row],[GülzST2]])*1*NOT(Liste01[[#This Row],[IstGestrichen]])</calculatedColumnFormula>
    </tableColumn>
    <tableColumn id="15" name="ListPotKum" dataCellStyle="Standard">
      <calculatedColumnFormula>SUMIFS(Liste01[ListPot],Liste01[Platz],Liste01[[#This Row],[Platz]],Liste01[Mult],"&lt;="&amp;Liste01[[#This Row],[Mult]])+SUMIFS(Liste01[ListPot],Liste01[Platz],"&lt;"&amp;Liste01[[#This Row],[Platz]])*Liste01[[#This Row],[ListPot]]</calculatedColumnFormula>
    </tableColumn>
    <tableColumn id="19" name="ListVerg" totalsRowFunction="sum" dataDxfId="91">
      <calculatedColumnFormula>IF(AND(NOT(ISBLANK(E$3)),Liste01[[#This Row],[ListPotKum]]&lt;=Reststimmen),Liste01[[#This Row],[ListPot]],0)</calculatedColumnFormula>
    </tableColumn>
    <tableColumn id="5" name="Einzel" totalsRowFunction="sum" totalsRowDxfId="90" dataCellStyle="Stimmen">
      <calculatedColumnFormula>MIN(SUMIFS(Liste01[Wahl],Liste01[Platz],Liste01[[#This Row],[Platz]]),3)*(Liste01[[#This Row],[Mult]]=1)*StimmenzahlOk</calculatedColumnFormula>
    </tableColumn>
    <tableColumn id="13" name="Liste" totalsRowFunction="sum" dataDxfId="89" totalsRowDxfId="88" dataCellStyle="Stimmen">
      <calculatedColumnFormula>SUMIFS(Liste01[ListVerg],Liste01[Platz],Liste01[[#This Row],[Platz]])*(Liste01[[#This Row],[Mult]]=1)*ListenkreuzeOk</calculatedColumnFormula>
    </tableColumn>
    <tableColumn id="14" name="Gesamt" totalsRowFunction="sum" totalsRowDxfId="87" dataCellStyle="Stimmen">
      <calculatedColumnFormula>Liste01[[#This Row],[Liste]]+Liste01[[#This Row],[Einzel]]</calculatedColumnFormula>
    </tableColumn>
  </tableColumns>
  <tableStyleInfo name="TableStyleLight17 2" showFirstColumn="1" showLastColumn="0" showRowStripes="1" showColumnStripes="0"/>
</table>
</file>

<file path=xl/tables/table2.xml><?xml version="1.0" encoding="utf-8"?>
<table xmlns="http://schemas.openxmlformats.org/spreadsheetml/2006/main" id="6" name="Liste03" displayName="Liste03" ref="AE4:AP55" totalsRowCount="1" headerRowDxfId="86">
  <sortState ref="AE5:AL12">
    <sortCondition ref="AF6:AF14"/>
  </sortState>
  <tableColumns count="12">
    <tableColumn id="1" name="Wahl" totalsRowFunction="sum" totalsRowDxfId="85" dataCellStyle="Wahl"/>
    <tableColumn id="2" name="Platz" totalsRowDxfId="84" dataCellStyle="Platz"/>
    <tableColumn id="3" name="Name" dataDxfId="83" totalsRowDxfId="82" dataCellStyle="Name"/>
    <tableColumn id="11" name="IstGestrichen" dataCellStyle="Standard">
      <calculatedColumnFormula>AND((Liste03[[#This Row],[Wahl]]=0),LEN(Liste03[[#This Row],[Wahl]])=1)</calculatedColumnFormula>
    </tableColumn>
    <tableColumn id="7" name="Mult" dataCellStyle="Standard">
      <calculatedColumnFormula array="1">SUM((ROW(Liste03[Platz])&lt;=ROW())*(Liste03[Platz]=Liste03[[#This Row],[Platz]])*NOT(Liste03[IstGestrichen]))*NOT(Liste03[[#This Row],[IstGestrichen]])</calculatedColumnFormula>
    </tableColumn>
    <tableColumn id="10" name="GülzST2" totalsRowFunction="sum" dataCellStyle="Standard">
      <calculatedColumnFormula array="1">MIN(SUMIFS(Liste03[Wahl],Liste03[Platz],Liste03[[#This Row],[Platz]]),3)</calculatedColumnFormula>
    </tableColumn>
    <tableColumn id="6" name="ListPot" totalsRowFunction="sum" dataCellStyle="Standard">
      <calculatedColumnFormula>(Liste03[[#This Row],[Mult]]&gt;Liste03[[#This Row],[GülzST2]])*1*NOT(Liste03[[#This Row],[IstGestrichen]])</calculatedColumnFormula>
    </tableColumn>
    <tableColumn id="15" name="ListPotKum" dataCellStyle="Standard">
      <calculatedColumnFormula>SUMIFS(Liste03[ListPot],Liste03[Platz],Liste03[[#This Row],[Platz]],Liste03[Mult],"&lt;="&amp;Liste03[[#This Row],[Mult]])+SUMIFS(Liste03[ListPot],Liste03[Platz],"&lt;"&amp;Liste03[[#This Row],[Platz]])*Liste03[[#This Row],[ListPot]]</calculatedColumnFormula>
    </tableColumn>
    <tableColumn id="19" name="ListVerg" totalsRowFunction="sum" dataDxfId="81">
      <calculatedColumnFormula>IF(AND(NOT(ISBLANK(AE$3)),Liste03[[#This Row],[ListPotKum]]&lt;=Reststimmen),Liste03[[#This Row],[ListPot]],0)</calculatedColumnFormula>
    </tableColumn>
    <tableColumn id="5" name="Einzel" totalsRowFunction="sum" totalsRowDxfId="80" dataCellStyle="Stimmen">
      <calculatedColumnFormula>MIN(SUMIFS(Liste03[Wahl],Liste03[Platz],Liste03[[#This Row],[Platz]]),3)*(Liste03[[#This Row],[Mult]]=1)*StimmenzahlOk</calculatedColumnFormula>
    </tableColumn>
    <tableColumn id="13" name="Liste" totalsRowFunction="sum" dataDxfId="79" totalsRowDxfId="78" dataCellStyle="Stimmen">
      <calculatedColumnFormula>SUMIFS(Liste03[ListVerg],Liste03[Platz],Liste03[[#This Row],[Platz]])*(Liste03[[#This Row],[Mult]]=1)*ListenkreuzeOk</calculatedColumnFormula>
    </tableColumn>
    <tableColumn id="14" name="Gesamt" totalsRowFunction="sum" totalsRowDxfId="77" dataCellStyle="Stimmen">
      <calculatedColumnFormula>Liste03[[#This Row],[Liste]]+Liste03[[#This Row],[Einzel]]</calculatedColumnFormula>
    </tableColumn>
  </tableColumns>
  <tableStyleInfo name="TableStyleLight17 2" showFirstColumn="1" showLastColumn="0" showRowStripes="1" showColumnStripes="0"/>
</table>
</file>

<file path=xl/tables/table3.xml><?xml version="1.0" encoding="utf-8"?>
<table xmlns="http://schemas.openxmlformats.org/spreadsheetml/2006/main" id="8" name="Liste05" displayName="Liste05" ref="BE4:BP55" totalsRowCount="1" headerRowDxfId="76">
  <sortState ref="BE5:BL12">
    <sortCondition ref="BF6:BF14"/>
  </sortState>
  <tableColumns count="12">
    <tableColumn id="1" name="Wahl" totalsRowFunction="sum" totalsRowDxfId="75" dataCellStyle="Wahl"/>
    <tableColumn id="2" name="Platz" totalsRowDxfId="74" dataCellStyle="Platz"/>
    <tableColumn id="3" name="Name" dataDxfId="73" totalsRowDxfId="72" dataCellStyle="Name"/>
    <tableColumn id="11" name="IstGestrichen" dataCellStyle="Standard">
      <calculatedColumnFormula>AND((Liste05[[#This Row],[Wahl]]=0),LEN(Liste05[[#This Row],[Wahl]])=1)</calculatedColumnFormula>
    </tableColumn>
    <tableColumn id="7" name="Mult" dataCellStyle="Standard">
      <calculatedColumnFormula array="1">SUM((ROW(Liste05[Platz])&lt;=ROW())*(Liste05[Platz]=Liste05[[#This Row],[Platz]])*NOT(Liste05[IstGestrichen]))*NOT(Liste05[[#This Row],[IstGestrichen]])</calculatedColumnFormula>
    </tableColumn>
    <tableColumn id="10" name="GülzST2" totalsRowFunction="sum" dataCellStyle="Standard">
      <calculatedColumnFormula array="1">MIN(SUMIFS(Liste05[Wahl],Liste05[Platz],Liste05[[#This Row],[Platz]]),3)</calculatedColumnFormula>
    </tableColumn>
    <tableColumn id="6" name="ListPot" totalsRowFunction="sum" dataCellStyle="Standard">
      <calculatedColumnFormula>(Liste05[[#This Row],[Mult]]&gt;Liste05[[#This Row],[GülzST2]])*1*NOT(Liste05[[#This Row],[IstGestrichen]])</calculatedColumnFormula>
    </tableColumn>
    <tableColumn id="15" name="ListPotKum" dataCellStyle="Standard">
      <calculatedColumnFormula>SUMIFS(Liste05[ListPot],Liste05[Platz],Liste05[[#This Row],[Platz]],Liste05[Mult],"&lt;="&amp;Liste05[[#This Row],[Mult]])+SUMIFS(Liste05[ListPot],Liste05[Platz],"&lt;"&amp;Liste05[[#This Row],[Platz]])*Liste05[[#This Row],[ListPot]]</calculatedColumnFormula>
    </tableColumn>
    <tableColumn id="19" name="ListVerg" totalsRowFunction="sum" dataDxfId="71">
      <calculatedColumnFormula>IF(AND(NOT(ISBLANK(BE$3)),Liste05[[#This Row],[ListPotKum]]&lt;=Reststimmen),Liste05[[#This Row],[ListPot]],0)</calculatedColumnFormula>
    </tableColumn>
    <tableColumn id="5" name="Einzel" totalsRowFunction="sum" totalsRowDxfId="70" dataCellStyle="Stimmen">
      <calculatedColumnFormula>MIN(SUMIFS(Liste05[Wahl],Liste05[Platz],Liste05[[#This Row],[Platz]]),3)*(Liste05[[#This Row],[Mult]]=1)*StimmenzahlOk</calculatedColumnFormula>
    </tableColumn>
    <tableColumn id="13" name="Liste" totalsRowFunction="sum" dataDxfId="69" totalsRowDxfId="68" dataCellStyle="Stimmen">
      <calculatedColumnFormula>SUMIFS(Liste05[ListVerg],Liste05[Platz],Liste05[[#This Row],[Platz]])*(Liste05[[#This Row],[Mult]]=1)*ListenkreuzeOk</calculatedColumnFormula>
    </tableColumn>
    <tableColumn id="14" name="Gesamt" totalsRowFunction="sum" totalsRowDxfId="67" dataCellStyle="Stimmen">
      <calculatedColumnFormula>Liste05[[#This Row],[Liste]]+Liste05[[#This Row],[Einzel]]</calculatedColumnFormula>
    </tableColumn>
  </tableColumns>
  <tableStyleInfo name="TableStyleLight17 2" showFirstColumn="1" showLastColumn="0" showRowStripes="1" showColumnStripes="0"/>
</table>
</file>

<file path=xl/tables/table4.xml><?xml version="1.0" encoding="utf-8"?>
<table xmlns="http://schemas.openxmlformats.org/spreadsheetml/2006/main" id="14" name="Liste02" displayName="Liste02" ref="R4:AC55" totalsRowCount="1" headerRowDxfId="66">
  <sortState ref="R5:Y12">
    <sortCondition ref="S6:S14"/>
  </sortState>
  <tableColumns count="12">
    <tableColumn id="1" name="Wahl" totalsRowFunction="sum" totalsRowDxfId="65" dataCellStyle="Wahl"/>
    <tableColumn id="2" name="Platz" totalsRowDxfId="64" dataCellStyle="Platz"/>
    <tableColumn id="3" name="Name" dataDxfId="63" totalsRowDxfId="62" dataCellStyle="Name"/>
    <tableColumn id="11" name="IstGestrichen" dataCellStyle="Standard">
      <calculatedColumnFormula>AND((Liste02[[#This Row],[Wahl]]=0),LEN(Liste02[[#This Row],[Wahl]])=1)</calculatedColumnFormula>
    </tableColumn>
    <tableColumn id="7" name="Mult" dataCellStyle="Standard">
      <calculatedColumnFormula array="1">SUM((ROW(Liste02[Platz])&lt;=ROW())*(Liste02[Platz]=Liste02[[#This Row],[Platz]])*NOT(Liste02[IstGestrichen]))*NOT(Liste02[[#This Row],[IstGestrichen]])</calculatedColumnFormula>
    </tableColumn>
    <tableColumn id="10" name="GülzST2" totalsRowFunction="sum" dataCellStyle="Standard">
      <calculatedColumnFormula array="1">MIN(SUMIFS(Liste02[Wahl],Liste02[Platz],Liste02[[#This Row],[Platz]]),3)</calculatedColumnFormula>
    </tableColumn>
    <tableColumn id="6" name="ListPot" totalsRowFunction="sum" dataCellStyle="Standard">
      <calculatedColumnFormula>(Liste02[[#This Row],[Mult]]&gt;Liste02[[#This Row],[GülzST2]])*1*NOT(Liste02[[#This Row],[IstGestrichen]])</calculatedColumnFormula>
    </tableColumn>
    <tableColumn id="15" name="ListPotKum" dataCellStyle="Standard">
      <calculatedColumnFormula>SUMIFS(Liste02[ListPot],Liste02[Platz],Liste02[[#This Row],[Platz]],Liste02[Mult],"&lt;="&amp;Liste02[[#This Row],[Mult]])+SUMIFS(Liste02[ListPot],Liste02[Platz],"&lt;"&amp;Liste02[[#This Row],[Platz]])*Liste02[[#This Row],[ListPot]]</calculatedColumnFormula>
    </tableColumn>
    <tableColumn id="19" name="ListVerg" totalsRowFunction="sum" dataDxfId="61">
      <calculatedColumnFormula>IF(AND(NOT(ISBLANK(R$3)),Liste02[[#This Row],[ListPotKum]]&lt;=Reststimmen),Liste02[[#This Row],[ListPot]],0)</calculatedColumnFormula>
    </tableColumn>
    <tableColumn id="5" name="Einzel" totalsRowFunction="sum" totalsRowDxfId="60" dataCellStyle="Stimmen">
      <calculatedColumnFormula>MIN(SUMIFS(Liste02[Wahl],Liste02[Platz],Liste02[[#This Row],[Platz]]),3)*(Liste02[[#This Row],[Mult]]=1)*StimmenzahlOk</calculatedColumnFormula>
    </tableColumn>
    <tableColumn id="13" name="Liste" totalsRowFunction="sum" dataDxfId="59" totalsRowDxfId="58" dataCellStyle="Stimmen">
      <calculatedColumnFormula>SUMIFS(Liste02[ListVerg],Liste02[Platz],Liste02[[#This Row],[Platz]])*(Liste02[[#This Row],[Mult]]=1)*ListenkreuzeOk</calculatedColumnFormula>
    </tableColumn>
    <tableColumn id="14" name="Gesamt" totalsRowFunction="sum" totalsRowDxfId="57" dataCellStyle="Stimmen">
      <calculatedColumnFormula>Liste02[[#This Row],[Liste]]+Liste02[[#This Row],[Einzel]]</calculatedColumnFormula>
    </tableColumn>
  </tableColumns>
  <tableStyleInfo name="TableStyleLight17 2" showFirstColumn="1" showLastColumn="0" showRowStripes="1" showColumnStripes="0"/>
</table>
</file>

<file path=xl/tables/table5.xml><?xml version="1.0" encoding="utf-8"?>
<table xmlns="http://schemas.openxmlformats.org/spreadsheetml/2006/main" id="15" name="Liste04" displayName="Liste04" ref="AR4:BC55" totalsRowCount="1" headerRowDxfId="56">
  <sortState ref="AR5:BC44">
    <sortCondition ref="AS4:AS44"/>
  </sortState>
  <tableColumns count="12">
    <tableColumn id="1" name="Wahl" totalsRowFunction="sum" totalsRowDxfId="55" dataCellStyle="Wahl"/>
    <tableColumn id="2" name="Platz" totalsRowDxfId="54" dataCellStyle="Platz"/>
    <tableColumn id="3" name="Name" dataDxfId="53" totalsRowDxfId="52" dataCellStyle="Name"/>
    <tableColumn id="11" name="IstGestrichen" dataCellStyle="Standard">
      <calculatedColumnFormula>AND((Liste04[[#This Row],[Wahl]]=0),LEN(Liste04[[#This Row],[Wahl]])=1)</calculatedColumnFormula>
    </tableColumn>
    <tableColumn id="7" name="Mult" dataCellStyle="Standard">
      <calculatedColumnFormula array="1">SUM((ROW(Liste04[Platz])&lt;=ROW())*(Liste04[Platz]=Liste04[[#This Row],[Platz]])*NOT(Liste04[IstGestrichen]))*NOT(Liste04[[#This Row],[IstGestrichen]])</calculatedColumnFormula>
    </tableColumn>
    <tableColumn id="10" name="GülzST2" totalsRowFunction="sum" dataCellStyle="Standard">
      <calculatedColumnFormula array="1">MIN(SUMIFS(Liste04[Wahl],Liste04[Platz],Liste04[[#This Row],[Platz]]),3)</calculatedColumnFormula>
    </tableColumn>
    <tableColumn id="6" name="ListPot" totalsRowFunction="sum" dataCellStyle="Standard">
      <calculatedColumnFormula>(Liste04[[#This Row],[Mult]]&gt;Liste04[[#This Row],[GülzST2]])*1*NOT(Liste04[[#This Row],[IstGestrichen]])</calculatedColumnFormula>
    </tableColumn>
    <tableColumn id="15" name="ListPotKum" dataCellStyle="Standard">
      <calculatedColumnFormula>SUMIFS(Liste04[ListPot],Liste04[Platz],Liste04[[#This Row],[Platz]],Liste04[Mult],"&lt;="&amp;Liste04[[#This Row],[Mult]])+SUMIFS(Liste04[ListPot],Liste04[Platz],"&lt;"&amp;Liste04[[#This Row],[Platz]])*Liste04[[#This Row],[ListPot]]</calculatedColumnFormula>
    </tableColumn>
    <tableColumn id="19" name="ListVerg" totalsRowFunction="sum" dataDxfId="51">
      <calculatedColumnFormula>IF(AND(NOT(ISBLANK(AR$3)),Liste04[[#This Row],[ListPotKum]]&lt;=Reststimmen),Liste04[[#This Row],[ListPot]],0)</calculatedColumnFormula>
    </tableColumn>
    <tableColumn id="5" name="Einzel" totalsRowFunction="sum" totalsRowDxfId="50" dataCellStyle="Stimmen">
      <calculatedColumnFormula>MIN(SUMIFS(Liste04[Wahl],Liste04[Platz],Liste04[[#This Row],[Platz]]),3)*(Liste04[[#This Row],[Mult]]=1)*StimmenzahlOk</calculatedColumnFormula>
    </tableColumn>
    <tableColumn id="13" name="Liste" totalsRowFunction="sum" dataDxfId="49" totalsRowDxfId="48" dataCellStyle="Stimmen">
      <calculatedColumnFormula>SUMIFS(Liste04[ListVerg],Liste04[Platz],Liste04[[#This Row],[Platz]])*(Liste04[[#This Row],[Mult]]=1)*ListenkreuzeOk</calculatedColumnFormula>
    </tableColumn>
    <tableColumn id="14" name="Gesamt" totalsRowFunction="sum" totalsRowDxfId="47" dataCellStyle="Stimmen">
      <calculatedColumnFormula>Liste04[[#This Row],[Liste]]+Liste04[[#This Row],[Einzel]]</calculatedColumnFormula>
    </tableColumn>
  </tableColumns>
  <tableStyleInfo name="TableStyleLight17 2" showFirstColumn="1" showLastColumn="0" showRowStripes="1" showColumnStripes="0"/>
</table>
</file>

<file path=xl/tables/table6.xml><?xml version="1.0" encoding="utf-8"?>
<table xmlns="http://schemas.openxmlformats.org/spreadsheetml/2006/main" id="16" name="Liste06" displayName="Liste06" ref="BR4:CC44" totalsRowCount="1" headerRowDxfId="46">
  <sortState ref="BR5:CC43">
    <sortCondition ref="BS4:BS43"/>
  </sortState>
  <tableColumns count="12">
    <tableColumn id="1" name="Spalte1" totalsRowDxfId="45" dataCellStyle="Wahl"/>
    <tableColumn id="2" name="Spalte2" totalsRowDxfId="44" dataCellStyle="Platz"/>
    <tableColumn id="3" name="Spalte3" dataDxfId="43" totalsRowDxfId="42" dataCellStyle="Name"/>
    <tableColumn id="11" name="IstGestrichen" dataCellStyle="Standard">
      <calculatedColumnFormula>AND((Liste06[[#This Row],[Spalte1]]=0),LEN(Liste06[[#This Row],[Spalte1]])=1)</calculatedColumnFormula>
    </tableColumn>
    <tableColumn id="7" name="Mult" dataCellStyle="Standard">
      <calculatedColumnFormula array="1">SUM((ROW(Liste06[Spalte2])&lt;=ROW())*(Liste06[Spalte2]=Liste06[[#This Row],[Spalte2]])*NOT(Liste06[IstGestrichen]))*NOT(Liste06[[#This Row],[IstGestrichen]])</calculatedColumnFormula>
    </tableColumn>
    <tableColumn id="10" name="GülzST2" totalsRowFunction="sum" dataCellStyle="Standard">
      <calculatedColumnFormula array="1">MIN(SUMIFS(Liste06[Spalte1],Liste06[Spalte2],Liste06[[#This Row],[Spalte2]]),3)</calculatedColumnFormula>
    </tableColumn>
    <tableColumn id="6" name="ListPot" totalsRowFunction="sum" dataCellStyle="Standard">
      <calculatedColumnFormula>(Liste06[[#This Row],[Mult]]&gt;Liste06[[#This Row],[GülzST2]])*1*NOT(Liste06[[#This Row],[IstGestrichen]])</calculatedColumnFormula>
    </tableColumn>
    <tableColumn id="15" name="ListPotKum" dataCellStyle="Standard">
      <calculatedColumnFormula>SUMIFS(Liste06[ListPot],Liste06[Spalte2],Liste06[[#This Row],[Spalte2]],Liste06[Mult],"&lt;="&amp;Liste06[[#This Row],[Mult]])+SUMIFS(Liste06[ListPot],Liste06[Spalte2],"&lt;"&amp;Liste06[[#This Row],[Spalte2]])*Liste06[[#This Row],[ListPot]]</calculatedColumnFormula>
    </tableColumn>
    <tableColumn id="19" name="ListVerg" totalsRowFunction="sum" dataDxfId="41">
      <calculatedColumnFormula>IF(AND(NOT(ISBLANK(BR$3)),Liste06[[#This Row],[ListPotKum]]&lt;=Reststimmen),Liste06[[#This Row],[ListPot]],0)</calculatedColumnFormula>
    </tableColumn>
    <tableColumn id="5" name="Einzel" totalsRowFunction="sum" totalsRowDxfId="40" dataCellStyle="Stimmen">
      <calculatedColumnFormula>MIN(SUMIFS(Liste06[Spalte1],Liste06[Spalte2],Liste06[[#This Row],[Spalte2]]),3)*(Liste06[[#This Row],[Mult]]=1)*StimmenzahlOk</calculatedColumnFormula>
    </tableColumn>
    <tableColumn id="13" name="Liste" totalsRowFunction="sum" dataDxfId="39" totalsRowDxfId="38" dataCellStyle="Stimmen">
      <calculatedColumnFormula>SUMIFS(Liste06[ListVerg],Liste06[Spalte2],Liste06[[#This Row],[Spalte2]])*(Liste06[[#This Row],[Mult]]=1)*ListenkreuzeOk</calculatedColumnFormula>
    </tableColumn>
    <tableColumn id="14" name="Gesamt" totalsRowFunction="sum" totalsRowDxfId="37" dataCellStyle="Stimmen">
      <calculatedColumnFormula>Liste06[[#This Row],[Liste]]+Liste06[[#This Row],[Einzel]]</calculatedColumnFormula>
    </tableColumn>
  </tableColumns>
  <tableStyleInfo name="TableStyleLight17 2" showFirstColumn="1" showLastColumn="0" showRowStripes="1" showColumnStripes="0"/>
</table>
</file>

<file path=xl/tables/table7.xml><?xml version="1.0" encoding="utf-8"?>
<table xmlns="http://schemas.openxmlformats.org/spreadsheetml/2006/main" id="17" name="Liste07" displayName="Liste07" ref="CE4:CP55" totalsRowCount="1" headerRowDxfId="36">
  <sortState ref="CE5:CP44">
    <sortCondition ref="CF4:CF44"/>
  </sortState>
  <tableColumns count="12">
    <tableColumn id="1" name="Wahl" totalsRowFunction="sum" totalsRowDxfId="35" dataCellStyle="Wahl"/>
    <tableColumn id="2" name="Platz" totalsRowDxfId="34" dataCellStyle="Platz"/>
    <tableColumn id="3" name="Name" dataDxfId="33" totalsRowDxfId="32" dataCellStyle="Name"/>
    <tableColumn id="11" name="IstGestrichen" dataCellStyle="Standard">
      <calculatedColumnFormula>AND((Liste07[[#This Row],[Wahl]]=0),LEN(Liste07[[#This Row],[Wahl]])=1)</calculatedColumnFormula>
    </tableColumn>
    <tableColumn id="7" name="Mult" dataCellStyle="Standard">
      <calculatedColumnFormula array="1">SUM((ROW(Liste07[Platz])&lt;=ROW())*(Liste07[Platz]=Liste07[[#This Row],[Platz]])*NOT(Liste07[IstGestrichen]))*NOT(Liste07[[#This Row],[IstGestrichen]])</calculatedColumnFormula>
    </tableColumn>
    <tableColumn id="10" name="GülzST2" totalsRowFunction="sum" dataCellStyle="Standard">
      <calculatedColumnFormula array="1">MIN(SUMIFS(Liste07[Wahl],Liste07[Platz],Liste07[[#This Row],[Platz]]),3)</calculatedColumnFormula>
    </tableColumn>
    <tableColumn id="6" name="ListPot" totalsRowFunction="sum" dataCellStyle="Standard">
      <calculatedColumnFormula>(Liste07[[#This Row],[Mult]]&gt;Liste07[[#This Row],[GülzST2]])*1*NOT(Liste07[[#This Row],[IstGestrichen]])</calculatedColumnFormula>
    </tableColumn>
    <tableColumn id="15" name="ListPotKum" dataCellStyle="Standard">
      <calculatedColumnFormula>SUMIFS(Liste07[ListPot],Liste07[Platz],Liste07[[#This Row],[Platz]],Liste07[Mult],"&lt;="&amp;Liste07[[#This Row],[Mult]])+SUMIFS(Liste07[ListPot],Liste07[Platz],"&lt;"&amp;Liste07[[#This Row],[Platz]])*Liste07[[#This Row],[ListPot]]</calculatedColumnFormula>
    </tableColumn>
    <tableColumn id="19" name="ListVerg" totalsRowFunction="sum" dataDxfId="31">
      <calculatedColumnFormula>IF(AND(NOT(ISBLANK(CE$3)),Liste07[[#This Row],[ListPotKum]]&lt;=Reststimmen),Liste07[[#This Row],[ListPot]],0)</calculatedColumnFormula>
    </tableColumn>
    <tableColumn id="5" name="Einzel" totalsRowFunction="sum" totalsRowDxfId="30" dataCellStyle="Stimmen">
      <calculatedColumnFormula>MIN(SUMIFS(Liste07[Wahl],Liste07[Platz],Liste07[[#This Row],[Platz]]),3)*(Liste07[[#This Row],[Mult]]=1)*StimmenzahlOk</calculatedColumnFormula>
    </tableColumn>
    <tableColumn id="13" name="Liste" totalsRowFunction="sum" dataDxfId="29" totalsRowDxfId="28" dataCellStyle="Stimmen">
      <calculatedColumnFormula>SUMIFS(Liste07[ListVerg],Liste07[Platz],Liste07[[#This Row],[Platz]])*(Liste07[[#This Row],[Mult]]=1)*ListenkreuzeOk</calculatedColumnFormula>
    </tableColumn>
    <tableColumn id="14" name="Gesamt" totalsRowFunction="sum" totalsRowDxfId="27" dataCellStyle="Stimmen">
      <calculatedColumnFormula>Liste07[[#This Row],[Liste]]+Liste07[[#This Row],[Einzel]]</calculatedColumnFormula>
    </tableColumn>
  </tableColumns>
  <tableStyleInfo name="TableStyleLight17 2" showFirstColumn="1" showLastColumn="0" showRowStripes="1" showColumnStripes="0"/>
</table>
</file>

<file path=xl/tables/table8.xml><?xml version="1.0" encoding="utf-8"?>
<table xmlns="http://schemas.openxmlformats.org/spreadsheetml/2006/main" id="20" name="Liste08" displayName="Liste08" ref="CR4:DC55" totalsRowCount="1" headerRowDxfId="26">
  <sortState ref="CR5:DC43">
    <sortCondition ref="CS4:CS43"/>
  </sortState>
  <tableColumns count="12">
    <tableColumn id="1" name="Wahl" totalsRowFunction="sum" totalsRowDxfId="5" dataCellStyle="Wahl"/>
    <tableColumn id="2" name="Platz" totalsRowDxfId="4" dataCellStyle="Platz"/>
    <tableColumn id="3" name="Name" dataDxfId="25" totalsRowDxfId="3" dataCellStyle="Name"/>
    <tableColumn id="11" name="IstGestrichen" dataCellStyle="Standard">
      <calculatedColumnFormula>AND((Liste08[[#This Row],[Wahl]]=0),LEN(Liste08[[#This Row],[Wahl]])=1)</calculatedColumnFormula>
    </tableColumn>
    <tableColumn id="7" name="Mult" dataCellStyle="Standard">
      <calculatedColumnFormula array="1">SUM((ROW(Liste08[Platz])&lt;=ROW())*(Liste08[Platz]=Liste08[[#This Row],[Platz]])*NOT(Liste08[IstGestrichen]))*NOT(Liste08[[#This Row],[IstGestrichen]])</calculatedColumnFormula>
    </tableColumn>
    <tableColumn id="10" name="GülzST2" totalsRowFunction="sum" dataCellStyle="Standard">
      <calculatedColumnFormula array="1">MIN(SUMIFS(Liste08[Wahl],Liste08[Platz],Liste08[[#This Row],[Platz]]),3)</calculatedColumnFormula>
    </tableColumn>
    <tableColumn id="6" name="ListPot" totalsRowFunction="sum" dataCellStyle="Standard">
      <calculatedColumnFormula>(Liste08[[#This Row],[Mult]]&gt;Liste08[[#This Row],[GülzST2]])*1*NOT(Liste08[[#This Row],[IstGestrichen]])</calculatedColumnFormula>
    </tableColumn>
    <tableColumn id="15" name="ListPotKum" dataCellStyle="Standard">
      <calculatedColumnFormula>SUMIFS(Liste08[ListPot],Liste08[Platz],Liste08[[#This Row],[Platz]],Liste08[Mult],"&lt;="&amp;Liste08[[#This Row],[Mult]])+SUMIFS(Liste08[ListPot],Liste08[Platz],"&lt;"&amp;Liste08[[#This Row],[Platz]])*Liste08[[#This Row],[ListPot]]</calculatedColumnFormula>
    </tableColumn>
    <tableColumn id="19" name="ListVerg" totalsRowFunction="sum" dataDxfId="24">
      <calculatedColumnFormula>IF(AND(NOT(ISBLANK(CR$3)),Liste08[[#This Row],[ListPotKum]]&lt;=Reststimmen),Liste08[[#This Row],[ListPot]],0)</calculatedColumnFormula>
    </tableColumn>
    <tableColumn id="5" name="Einzel" totalsRowFunction="sum" totalsRowDxfId="2" dataCellStyle="Stimmen">
      <calculatedColumnFormula>MIN(SUMIFS(Liste08[Wahl],Liste08[Platz],Liste08[[#This Row],[Platz]]),3)*(Liste08[[#This Row],[Mult]]=1)*StimmenzahlOk</calculatedColumnFormula>
    </tableColumn>
    <tableColumn id="13" name="Liste" totalsRowFunction="sum" dataDxfId="23" totalsRowDxfId="1" dataCellStyle="Stimmen">
      <calculatedColumnFormula>SUMIFS(Liste08[ListVerg],Liste08[Platz],Liste08[[#This Row],[Platz]])*(Liste08[[#This Row],[Mult]]=1)*ListenkreuzeOk</calculatedColumnFormula>
    </tableColumn>
    <tableColumn id="14" name="Gesamt" totalsRowFunction="sum" totalsRowDxfId="0" dataCellStyle="Stimmen">
      <calculatedColumnFormula>Liste08[[#This Row],[Liste]]+Liste08[[#This Row],[Einzel]]</calculatedColumnFormula>
    </tableColumn>
  </tableColumns>
  <tableStyleInfo name="TableStyleLight17 2" showFirstColumn="1" showLastColumn="0" showRowStripes="1" showColumnStripes="0"/>
</table>
</file>

<file path=xl/tables/table9.xml><?xml version="1.0" encoding="utf-8"?>
<table xmlns="http://schemas.openxmlformats.org/spreadsheetml/2006/main" id="18" name="Liste09" displayName="Liste09" ref="DE4:DP42" totalsRowCount="1" headerRowDxfId="22">
  <sortState ref="DE5:DP41">
    <sortCondition ref="DF4:DF41"/>
  </sortState>
  <tableColumns count="12">
    <tableColumn id="1" name="Wahl" totalsRowFunction="sum" totalsRowDxfId="21" dataCellStyle="Wahl"/>
    <tableColumn id="2" name="Platz" totalsRowDxfId="20" dataCellStyle="Platz"/>
    <tableColumn id="3" name="Name" dataDxfId="19" totalsRowDxfId="18" dataCellStyle="Name"/>
    <tableColumn id="11" name="IstGestrichen" dataCellStyle="Standard"/>
    <tableColumn id="7" name="Mult" dataCellStyle="Standard"/>
    <tableColumn id="10" name="GülzST2" totalsRowFunction="sum" dataCellStyle="Standard"/>
    <tableColumn id="6" name="ListPot" totalsRowFunction="sum" dataCellStyle="Standard"/>
    <tableColumn id="15" name="ListPotKum" dataCellStyle="Standard"/>
    <tableColumn id="19" name="ListVerg" totalsRowFunction="sum" dataDxfId="17"/>
    <tableColumn id="5" name="Einzel" totalsRowFunction="sum" totalsRowDxfId="16" dataCellStyle="Stimmen"/>
    <tableColumn id="13" name="Liste" totalsRowFunction="sum" dataDxfId="15" totalsRowDxfId="14" dataCellStyle="Stimmen"/>
    <tableColumn id="14" name="Gesamt" totalsRowFunction="sum" totalsRowDxfId="13" dataCellStyle="Stimmen">
      <calculatedColumnFormula>Liste09[[#This Row],[Liste]]+Liste09[[#This Row],[Einzel]]</calculatedColumnFormula>
    </tableColumn>
  </tableColumns>
  <tableStyleInfo name="TableStyleLight17 2" showFirstColumn="1" showLastColumn="0" showRowStripes="1" showColumnStripes="0"/>
</table>
</file>

<file path=xl/tables/table10.xml><?xml version="1.0" encoding="utf-8"?>
<table xmlns="http://schemas.openxmlformats.org/spreadsheetml/2006/main" id="2" name="ES" displayName="ES" ref="F4:F44" totalsRowShown="0" dataCellStyle="Wahl">
  <autoFilter ref="F4:F44"/>
  <tableColumns count="1">
    <tableColumn id="1" name="Stimmen" dataCellStyle="Wahl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" name="Tab_Kandidaten" displayName="Tab_Kandidaten" ref="B2:K218" totalsRowShown="0">
  <autoFilter ref="B2:K218"/>
  <sortState ref="B3:K218">
    <sortCondition ref="D2:D218"/>
  </sortState>
  <tableColumns count="10">
    <tableColumn id="1" name="Zeitungstext"/>
    <tableColumn id="3" name="Länge">
      <calculatedColumnFormula>LEN(Tab_Kandidaten[[#This Row],[Zeitungstext]])</calculatedColumnFormula>
    </tableColumn>
    <tableColumn id="2" name="ID">
      <calculatedColumnFormula>VALUE(MID(Tab_Kandidaten[[#This Row],[Zeitungstext]],1,3))</calculatedColumnFormula>
    </tableColumn>
    <tableColumn id="4" name="Nachname" dataDxfId="12">
      <calculatedColumnFormula>MID(Tab_Kandidaten[[#This Row],[Zeitungstext]],5,Tab_Kandidaten[[#This Row],[Länge]]-9)</calculatedColumnFormula>
    </tableColumn>
    <tableColumn id="5" name="GebJahr" dataDxfId="11">
      <calculatedColumnFormula>VALUE(MID(Tab_Kandidaten[[#This Row],[Zeitungstext]],Tab_Kandidaten[[#This Row],[Länge]]-3,4))</calculatedColumnFormula>
    </tableColumn>
    <tableColumn id="6" name="Alter" dataDxfId="10">
      <calculatedColumnFormula>2020-Tab_Kandidaten[[#This Row],[GebJahr]]</calculatedColumnFormula>
    </tableColumn>
    <tableColumn id="11" name="Spalte1" dataDxfId="9">
      <calculatedColumnFormula>ROUND(Tab_Kandidaten[[#This Row],[Alter]],-1)</calculatedColumnFormula>
    </tableColumn>
    <tableColumn id="8" name="Liste" dataDxfId="8">
      <calculatedColumnFormula>QUOTIENT(Tab_Kandidaten[[#This Row],[ID]],100)</calculatedColumnFormula>
    </tableColumn>
    <tableColumn id="10" name="Platz" dataDxfId="7">
      <calculatedColumnFormula>MOD(Tab_Kandidaten[[#This Row],[ID]],100)</calculatedColumnFormula>
    </tableColumn>
    <tableColumn id="9" name="Kommas" dataDxfId="6">
      <calculatedColumnFormula>Tab_Kandidaten[[#This Row],[Länge]]-LEN(SUBSTITUTE(Tab_Kandidaten[[#This Row],[Zeitungstext]],",",""))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84"/>
  <sheetViews>
    <sheetView tabSelected="1" zoomScaleNormal="100" workbookViewId="0">
      <pane xSplit="3" ySplit="4" topLeftCell="CD5" activePane="bottomRight" state="frozen"/>
      <selection pane="topRight" activeCell="D1" sqref="D1"/>
      <selection pane="bottomLeft" activeCell="A5" sqref="A5"/>
      <selection pane="bottomRight" activeCell="CR9" sqref="CR9"/>
    </sheetView>
  </sheetViews>
  <sheetFormatPr baseColWidth="10" defaultRowHeight="15" x14ac:dyDescent="0.25"/>
  <cols>
    <col min="1" max="1" width="25.28515625" customWidth="1"/>
    <col min="2" max="2" width="10.85546875" customWidth="1"/>
    <col min="3" max="3" width="2" style="17" customWidth="1"/>
    <col min="4" max="4" width="1" style="17" customWidth="1"/>
    <col min="5" max="5" width="6" bestFit="1" customWidth="1"/>
    <col min="6" max="6" width="5.28515625" bestFit="1" customWidth="1"/>
    <col min="7" max="7" width="35.7109375" style="30" customWidth="1"/>
    <col min="8" max="8" width="12.85546875" hidden="1" customWidth="1"/>
    <col min="9" max="9" width="5.28515625" hidden="1" customWidth="1"/>
    <col min="10" max="10" width="8" hidden="1" customWidth="1"/>
    <col min="11" max="11" width="7" hidden="1" customWidth="1"/>
    <col min="12" max="12" width="11" hidden="1" customWidth="1"/>
    <col min="13" max="13" width="8.140625" hidden="1" customWidth="1"/>
    <col min="14" max="14" width="5.28515625" bestFit="1" customWidth="1"/>
    <col min="15" max="15" width="4.5703125" bestFit="1" customWidth="1"/>
    <col min="16" max="16" width="6.7109375" hidden="1" customWidth="1"/>
    <col min="17" max="17" width="3" style="17" customWidth="1"/>
    <col min="18" max="18" width="6" bestFit="1" customWidth="1"/>
    <col min="19" max="19" width="4.85546875" bestFit="1" customWidth="1"/>
    <col min="20" max="20" width="35.7109375" customWidth="1"/>
    <col min="21" max="26" width="11.42578125" hidden="1" customWidth="1"/>
    <col min="27" max="27" width="5.28515625" bestFit="1" customWidth="1"/>
    <col min="28" max="28" width="4.5703125" bestFit="1" customWidth="1"/>
    <col min="29" max="29" width="6.5703125" hidden="1" customWidth="1"/>
    <col min="30" max="30" width="3.42578125" style="17" customWidth="1"/>
    <col min="31" max="31" width="6.5703125" customWidth="1"/>
    <col min="32" max="32" width="4.85546875" bestFit="1" customWidth="1"/>
    <col min="33" max="33" width="35.7109375" customWidth="1"/>
    <col min="34" max="39" width="11.42578125" hidden="1" customWidth="1"/>
    <col min="40" max="40" width="5.28515625" bestFit="1" customWidth="1"/>
    <col min="41" max="41" width="5.5703125" customWidth="1"/>
    <col min="42" max="42" width="6.5703125" hidden="1" customWidth="1"/>
    <col min="43" max="43" width="5" style="17" customWidth="1"/>
    <col min="44" max="44" width="6" bestFit="1" customWidth="1"/>
    <col min="45" max="45" width="4.85546875" bestFit="1" customWidth="1"/>
    <col min="46" max="46" width="35.7109375" customWidth="1"/>
    <col min="47" max="52" width="11.42578125" hidden="1" customWidth="1"/>
    <col min="53" max="53" width="5.28515625" bestFit="1" customWidth="1"/>
    <col min="54" max="54" width="4.5703125" bestFit="1" customWidth="1"/>
    <col min="55" max="55" width="11.42578125" hidden="1" customWidth="1"/>
    <col min="56" max="56" width="4.5703125" style="17" customWidth="1"/>
    <col min="57" max="57" width="6" bestFit="1" customWidth="1"/>
    <col min="58" max="58" width="4.85546875" bestFit="1" customWidth="1"/>
    <col min="59" max="59" width="35.7109375" customWidth="1"/>
    <col min="60" max="65" width="11.42578125" hidden="1" customWidth="1"/>
    <col min="66" max="66" width="5.28515625" bestFit="1" customWidth="1"/>
    <col min="67" max="67" width="4.5703125" bestFit="1" customWidth="1"/>
    <col min="68" max="68" width="6.5703125" hidden="1" customWidth="1"/>
    <col min="69" max="69" width="2.140625" style="17" customWidth="1"/>
    <col min="70" max="71" width="0.5703125" customWidth="1"/>
    <col min="72" max="72" width="1.85546875" hidden="1" customWidth="1"/>
    <col min="73" max="78" width="0" hidden="1" customWidth="1"/>
    <col min="79" max="79" width="5.28515625" hidden="1" customWidth="1"/>
    <col min="80" max="80" width="4.5703125" hidden="1" customWidth="1"/>
    <col min="81" max="81" width="0" hidden="1" customWidth="1"/>
    <col min="82" max="82" width="1.85546875" style="17" customWidth="1"/>
    <col min="83" max="83" width="6" bestFit="1" customWidth="1"/>
    <col min="84" max="84" width="4.85546875" bestFit="1" customWidth="1"/>
    <col min="85" max="85" width="35.7109375" customWidth="1"/>
    <col min="86" max="91" width="0" hidden="1" customWidth="1"/>
    <col min="92" max="92" width="5.28515625" bestFit="1" customWidth="1"/>
    <col min="93" max="93" width="4.5703125" bestFit="1" customWidth="1"/>
    <col min="94" max="94" width="0" hidden="1" customWidth="1"/>
    <col min="95" max="95" width="2.5703125" style="17" customWidth="1"/>
    <col min="96" max="96" width="5.85546875" bestFit="1" customWidth="1"/>
    <col min="97" max="97" width="4.85546875" bestFit="1" customWidth="1"/>
    <col min="98" max="98" width="35.7109375" customWidth="1"/>
    <col min="99" max="104" width="0" hidden="1" customWidth="1"/>
    <col min="105" max="105" width="5.28515625" bestFit="1" customWidth="1"/>
    <col min="106" max="106" width="4.5703125" bestFit="1" customWidth="1"/>
    <col min="107" max="107" width="0" hidden="1" customWidth="1"/>
    <col min="108" max="108" width="4" style="17" customWidth="1"/>
    <col min="109" max="109" width="1.5703125" customWidth="1"/>
    <col min="110" max="110" width="1.140625" customWidth="1"/>
    <col min="111" max="111" width="0.85546875" customWidth="1"/>
    <col min="112" max="117" width="0" hidden="1" customWidth="1"/>
    <col min="118" max="118" width="0.7109375" customWidth="1"/>
    <col min="119" max="119" width="0.85546875" customWidth="1"/>
    <col min="120" max="120" width="0" hidden="1" customWidth="1"/>
    <col min="121" max="131" width="11.42578125" style="17"/>
  </cols>
  <sheetData>
    <row r="1" spans="1:131" s="17" customFormat="1" ht="15.75" thickBot="1" x14ac:dyDescent="0.3">
      <c r="A1" s="69" t="str">
        <f>IF(AND(StimmenzahlOk,B14),"gültig","ungültig")</f>
        <v>ungültig</v>
      </c>
      <c r="B1" s="69"/>
      <c r="G1" s="31"/>
      <c r="AH1" s="9"/>
      <c r="AI1" s="9"/>
      <c r="AJ1" s="9"/>
      <c r="AK1" s="9"/>
    </row>
    <row r="2" spans="1:131" s="1" customFormat="1" ht="16.5" thickTop="1" thickBot="1" x14ac:dyDescent="0.3">
      <c r="A2" s="69"/>
      <c r="B2" s="69"/>
      <c r="C2" s="17"/>
      <c r="D2" s="17"/>
      <c r="E2" s="44" t="s">
        <v>251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36"/>
      <c r="R2" s="44" t="s">
        <v>252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36"/>
      <c r="AE2" s="44" t="s">
        <v>253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6"/>
      <c r="AQ2" s="36"/>
      <c r="AR2" s="44" t="s">
        <v>254</v>
      </c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36"/>
      <c r="BE2" s="44" t="s">
        <v>257</v>
      </c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6"/>
      <c r="BQ2" s="36"/>
      <c r="BR2" s="44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6"/>
      <c r="CD2" s="36"/>
      <c r="CE2" s="44" t="s">
        <v>259</v>
      </c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6"/>
      <c r="CQ2" s="36"/>
      <c r="CR2" s="44" t="s">
        <v>260</v>
      </c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6"/>
      <c r="DD2" s="36"/>
      <c r="DE2" s="44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6"/>
      <c r="DQ2" s="38"/>
      <c r="DR2" s="17"/>
      <c r="DS2" s="17"/>
      <c r="DT2" s="17"/>
      <c r="DU2" s="17"/>
      <c r="DV2" s="17"/>
      <c r="DW2" s="17"/>
      <c r="DX2" s="17"/>
      <c r="DY2" s="17"/>
      <c r="DZ2" s="17"/>
      <c r="EA2" s="17"/>
    </row>
    <row r="3" spans="1:131" s="1" customFormat="1" ht="32.25" customHeight="1" thickTop="1" thickBot="1" x14ac:dyDescent="0.3">
      <c r="A3" s="70" t="str">
        <f>IF(A1="ungültig","",IF(B5=B13,"Alle "&amp;B5&amp;" Stimmen gültig vergeben","Nur "&amp;B13&amp;" von "&amp;B5&amp;" Stimmen gültig vergeben"))</f>
        <v/>
      </c>
      <c r="B3" s="70"/>
      <c r="C3" s="17"/>
      <c r="D3" s="17"/>
      <c r="E3" s="20"/>
      <c r="F3" s="71" t="s">
        <v>256</v>
      </c>
      <c r="G3" s="72"/>
      <c r="H3" s="72"/>
      <c r="I3" s="72"/>
      <c r="J3" s="72"/>
      <c r="K3" s="72"/>
      <c r="L3" s="72"/>
      <c r="M3" s="72"/>
      <c r="N3" s="72"/>
      <c r="O3" s="72"/>
      <c r="P3" s="73"/>
      <c r="Q3" s="36"/>
      <c r="R3" s="20"/>
      <c r="S3" s="66" t="s">
        <v>261</v>
      </c>
      <c r="T3" s="67"/>
      <c r="U3" s="67"/>
      <c r="V3" s="67"/>
      <c r="W3" s="67"/>
      <c r="X3" s="67"/>
      <c r="Y3" s="67"/>
      <c r="Z3" s="67"/>
      <c r="AA3" s="67"/>
      <c r="AB3" s="67"/>
      <c r="AC3" s="68"/>
      <c r="AD3" s="36"/>
      <c r="AE3" s="20"/>
      <c r="AF3" s="58" t="s">
        <v>428</v>
      </c>
      <c r="AG3" s="59"/>
      <c r="AH3" s="59"/>
      <c r="AI3" s="59"/>
      <c r="AJ3" s="59"/>
      <c r="AK3" s="59"/>
      <c r="AL3" s="59"/>
      <c r="AM3" s="59"/>
      <c r="AN3" s="59"/>
      <c r="AO3" s="59"/>
      <c r="AP3" s="60"/>
      <c r="AQ3" s="36"/>
      <c r="AR3" s="35"/>
      <c r="AS3" s="61" t="s">
        <v>255</v>
      </c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36"/>
      <c r="BE3" s="20"/>
      <c r="BF3" s="63" t="s">
        <v>258</v>
      </c>
      <c r="BG3" s="64"/>
      <c r="BH3" s="64"/>
      <c r="BI3" s="64"/>
      <c r="BJ3" s="64"/>
      <c r="BK3" s="64"/>
      <c r="BL3" s="64"/>
      <c r="BM3" s="64"/>
      <c r="BN3" s="64"/>
      <c r="BO3" s="64"/>
      <c r="BP3" s="65"/>
      <c r="BQ3" s="36"/>
      <c r="BR3" s="20"/>
      <c r="BS3" s="47"/>
      <c r="BT3" s="50"/>
      <c r="BU3" s="50"/>
      <c r="BV3" s="50"/>
      <c r="BW3" s="50"/>
      <c r="BX3" s="50"/>
      <c r="BY3" s="50"/>
      <c r="BZ3" s="50"/>
      <c r="CA3" s="50"/>
      <c r="CB3" s="50"/>
      <c r="CC3" s="51"/>
      <c r="CD3" s="36"/>
      <c r="CE3" s="20"/>
      <c r="CF3" s="52" t="s">
        <v>423</v>
      </c>
      <c r="CG3" s="53"/>
      <c r="CH3" s="53"/>
      <c r="CI3" s="53"/>
      <c r="CJ3" s="53"/>
      <c r="CK3" s="53"/>
      <c r="CL3" s="53"/>
      <c r="CM3" s="53"/>
      <c r="CN3" s="53"/>
      <c r="CO3" s="53"/>
      <c r="CP3" s="54"/>
      <c r="CQ3" s="36"/>
      <c r="CR3" s="20"/>
      <c r="CS3" s="55" t="s">
        <v>525</v>
      </c>
      <c r="CT3" s="56"/>
      <c r="CU3" s="56"/>
      <c r="CV3" s="56"/>
      <c r="CW3" s="56"/>
      <c r="CX3" s="56"/>
      <c r="CY3" s="56"/>
      <c r="CZ3" s="56"/>
      <c r="DA3" s="56"/>
      <c r="DB3" s="56"/>
      <c r="DC3" s="57"/>
      <c r="DD3" s="36"/>
      <c r="DE3" s="20"/>
      <c r="DF3" s="47"/>
      <c r="DG3" s="48"/>
      <c r="DH3" s="48"/>
      <c r="DI3" s="48"/>
      <c r="DJ3" s="48"/>
      <c r="DK3" s="48"/>
      <c r="DL3" s="48"/>
      <c r="DM3" s="48"/>
      <c r="DN3" s="48"/>
      <c r="DO3" s="48"/>
      <c r="DP3" s="49"/>
      <c r="DQ3" s="38"/>
      <c r="DR3" s="17"/>
      <c r="DS3" s="17"/>
      <c r="DT3" s="17"/>
      <c r="DU3" s="17"/>
      <c r="DV3" s="17"/>
      <c r="DW3" s="17"/>
      <c r="DX3" s="17"/>
      <c r="DY3" s="17"/>
      <c r="DZ3" s="17"/>
      <c r="EA3" s="17"/>
    </row>
    <row r="4" spans="1:131" ht="15.75" thickTop="1" x14ac:dyDescent="0.25">
      <c r="A4" s="17"/>
      <c r="B4" s="17"/>
      <c r="E4" s="18" t="s">
        <v>17</v>
      </c>
      <c r="F4" s="18" t="s">
        <v>0</v>
      </c>
      <c r="G4" s="19" t="s">
        <v>1</v>
      </c>
      <c r="H4" s="5" t="s">
        <v>5</v>
      </c>
      <c r="I4" s="5" t="s">
        <v>2</v>
      </c>
      <c r="J4" s="5" t="s">
        <v>4</v>
      </c>
      <c r="K4" s="5" t="s">
        <v>3</v>
      </c>
      <c r="L4" s="5" t="s">
        <v>6</v>
      </c>
      <c r="M4" s="5" t="s">
        <v>24</v>
      </c>
      <c r="N4" s="18" t="s">
        <v>20</v>
      </c>
      <c r="O4" s="18" t="s">
        <v>18</v>
      </c>
      <c r="P4" s="18" t="s">
        <v>19</v>
      </c>
      <c r="R4" s="18" t="s">
        <v>17</v>
      </c>
      <c r="S4" s="18" t="s">
        <v>0</v>
      </c>
      <c r="T4" s="19" t="s">
        <v>1</v>
      </c>
      <c r="U4" s="5" t="s">
        <v>5</v>
      </c>
      <c r="V4" s="5" t="s">
        <v>2</v>
      </c>
      <c r="W4" s="5" t="s">
        <v>4</v>
      </c>
      <c r="X4" s="5" t="s">
        <v>3</v>
      </c>
      <c r="Y4" s="5" t="s">
        <v>6</v>
      </c>
      <c r="Z4" s="5" t="s">
        <v>24</v>
      </c>
      <c r="AA4" s="18" t="s">
        <v>20</v>
      </c>
      <c r="AB4" s="18" t="s">
        <v>18</v>
      </c>
      <c r="AC4" s="18" t="s">
        <v>19</v>
      </c>
      <c r="AE4" s="18" t="s">
        <v>17</v>
      </c>
      <c r="AF4" s="18" t="s">
        <v>0</v>
      </c>
      <c r="AG4" s="19" t="s">
        <v>1</v>
      </c>
      <c r="AH4" s="5" t="s">
        <v>5</v>
      </c>
      <c r="AI4" s="5" t="s">
        <v>2</v>
      </c>
      <c r="AJ4" s="5" t="s">
        <v>4</v>
      </c>
      <c r="AK4" s="5" t="s">
        <v>3</v>
      </c>
      <c r="AL4" s="5" t="s">
        <v>6</v>
      </c>
      <c r="AM4" s="5" t="s">
        <v>24</v>
      </c>
      <c r="AN4" s="18" t="s">
        <v>20</v>
      </c>
      <c r="AO4" s="18" t="s">
        <v>18</v>
      </c>
      <c r="AP4" s="18" t="s">
        <v>19</v>
      </c>
      <c r="AR4" s="18" t="s">
        <v>17</v>
      </c>
      <c r="AS4" s="18" t="s">
        <v>0</v>
      </c>
      <c r="AT4" s="19" t="s">
        <v>1</v>
      </c>
      <c r="AU4" s="5" t="s">
        <v>5</v>
      </c>
      <c r="AV4" s="5" t="s">
        <v>2</v>
      </c>
      <c r="AW4" s="5" t="s">
        <v>4</v>
      </c>
      <c r="AX4" s="5" t="s">
        <v>3</v>
      </c>
      <c r="AY4" s="5" t="s">
        <v>6</v>
      </c>
      <c r="AZ4" s="5" t="s">
        <v>24</v>
      </c>
      <c r="BA4" s="18" t="s">
        <v>20</v>
      </c>
      <c r="BB4" s="18" t="s">
        <v>18</v>
      </c>
      <c r="BC4" s="18" t="s">
        <v>19</v>
      </c>
      <c r="BE4" s="18" t="s">
        <v>17</v>
      </c>
      <c r="BF4" s="18" t="s">
        <v>0</v>
      </c>
      <c r="BG4" s="19" t="s">
        <v>1</v>
      </c>
      <c r="BH4" s="5" t="s">
        <v>5</v>
      </c>
      <c r="BI4" s="5" t="s">
        <v>2</v>
      </c>
      <c r="BJ4" s="5" t="s">
        <v>4</v>
      </c>
      <c r="BK4" s="5" t="s">
        <v>3</v>
      </c>
      <c r="BL4" s="5" t="s">
        <v>6</v>
      </c>
      <c r="BM4" s="5" t="s">
        <v>24</v>
      </c>
      <c r="BN4" s="18" t="s">
        <v>20</v>
      </c>
      <c r="BO4" s="18" t="s">
        <v>18</v>
      </c>
      <c r="BP4" s="18" t="s">
        <v>19</v>
      </c>
      <c r="BR4" s="18" t="s">
        <v>27</v>
      </c>
      <c r="BS4" s="18" t="s">
        <v>271</v>
      </c>
      <c r="BT4" s="19" t="s">
        <v>272</v>
      </c>
      <c r="BU4" s="5" t="s">
        <v>5</v>
      </c>
      <c r="BV4" s="5" t="s">
        <v>2</v>
      </c>
      <c r="BW4" s="5" t="s">
        <v>4</v>
      </c>
      <c r="BX4" s="5" t="s">
        <v>3</v>
      </c>
      <c r="BY4" s="5" t="s">
        <v>6</v>
      </c>
      <c r="BZ4" s="5" t="s">
        <v>24</v>
      </c>
      <c r="CA4" s="18" t="s">
        <v>20</v>
      </c>
      <c r="CB4" s="18" t="s">
        <v>18</v>
      </c>
      <c r="CC4" s="18" t="s">
        <v>19</v>
      </c>
      <c r="CE4" s="18" t="s">
        <v>17</v>
      </c>
      <c r="CF4" s="18" t="s">
        <v>0</v>
      </c>
      <c r="CG4" s="19" t="s">
        <v>1</v>
      </c>
      <c r="CH4" s="5" t="s">
        <v>5</v>
      </c>
      <c r="CI4" s="5" t="s">
        <v>2</v>
      </c>
      <c r="CJ4" s="5" t="s">
        <v>4</v>
      </c>
      <c r="CK4" s="5" t="s">
        <v>3</v>
      </c>
      <c r="CL4" s="5" t="s">
        <v>6</v>
      </c>
      <c r="CM4" s="5" t="s">
        <v>24</v>
      </c>
      <c r="CN4" s="18" t="s">
        <v>20</v>
      </c>
      <c r="CO4" s="18" t="s">
        <v>18</v>
      </c>
      <c r="CP4" s="18" t="s">
        <v>19</v>
      </c>
      <c r="CR4" s="18" t="s">
        <v>17</v>
      </c>
      <c r="CS4" s="18" t="s">
        <v>0</v>
      </c>
      <c r="CT4" s="19" t="s">
        <v>1</v>
      </c>
      <c r="CU4" s="5" t="s">
        <v>5</v>
      </c>
      <c r="CV4" s="5" t="s">
        <v>2</v>
      </c>
      <c r="CW4" s="5" t="s">
        <v>4</v>
      </c>
      <c r="CX4" s="5" t="s">
        <v>3</v>
      </c>
      <c r="CY4" s="5" t="s">
        <v>6</v>
      </c>
      <c r="CZ4" s="5" t="s">
        <v>24</v>
      </c>
      <c r="DA4" s="18" t="s">
        <v>20</v>
      </c>
      <c r="DB4" s="18" t="s">
        <v>18</v>
      </c>
      <c r="DC4" s="18" t="s">
        <v>19</v>
      </c>
      <c r="DE4" s="18" t="s">
        <v>17</v>
      </c>
      <c r="DF4" s="18" t="s">
        <v>0</v>
      </c>
      <c r="DG4" s="19" t="s">
        <v>1</v>
      </c>
      <c r="DH4" s="5" t="s">
        <v>5</v>
      </c>
      <c r="DI4" s="5" t="s">
        <v>2</v>
      </c>
      <c r="DJ4" s="5" t="s">
        <v>4</v>
      </c>
      <c r="DK4" s="5" t="s">
        <v>3</v>
      </c>
      <c r="DL4" s="5" t="s">
        <v>6</v>
      </c>
      <c r="DM4" s="5" t="s">
        <v>24</v>
      </c>
      <c r="DN4" s="18" t="s">
        <v>20</v>
      </c>
      <c r="DO4" s="18" t="s">
        <v>18</v>
      </c>
      <c r="DP4" s="18" t="s">
        <v>19</v>
      </c>
    </row>
    <row r="5" spans="1:131" ht="15.75" x14ac:dyDescent="0.25">
      <c r="A5" s="13" t="s">
        <v>12</v>
      </c>
      <c r="B5" s="21">
        <v>50</v>
      </c>
      <c r="E5" s="8"/>
      <c r="F5" s="3">
        <v>101</v>
      </c>
      <c r="G5" s="2" t="s">
        <v>273</v>
      </c>
      <c r="H5" t="b">
        <f>AND((Liste01[[#This Row],[Wahl]]=0),LEN(Liste01[[#This Row],[Wahl]])=1)</f>
        <v>0</v>
      </c>
      <c r="I5">
        <f t="array" ref="I5">SUM((ROW(Liste01[Platz])&lt;=ROW())*(Liste01[Platz]=Liste01[[#This Row],[Platz]])*NOT(Liste01[IstGestrichen]))*NOT(Liste01[[#This Row],[IstGestrichen]])</f>
        <v>1</v>
      </c>
      <c r="J5">
        <f t="array" ref="J5">MIN(SUMIFS(Liste01[Wahl],Liste01[Platz],Liste01[[#This Row],[Platz]]),3)</f>
        <v>0</v>
      </c>
      <c r="K5">
        <f>(Liste01[[#This Row],[Mult]]&gt;Liste01[[#This Row],[GülzST2]])*1*NOT(Liste01[[#This Row],[IstGestrichen]])</f>
        <v>1</v>
      </c>
      <c r="L5">
        <f>SUMIFS(Liste01[ListPot],Liste01[Platz],Liste01[[#This Row],[Platz]],Liste01[Mult],"&lt;="&amp;Liste01[[#This Row],[Mult]])+SUMIFS(Liste01[ListPot],Liste01[Platz],"&lt;"&amp;Liste01[[#This Row],[Platz]])*Liste01[[#This Row],[ListPot]]</f>
        <v>1</v>
      </c>
      <c r="M5">
        <f>IF(AND(NOT(ISBLANK(E$3)),Liste01[[#This Row],[ListPotKum]]&lt;=Reststimmen),Liste01[[#This Row],[ListPot]],0)</f>
        <v>0</v>
      </c>
      <c r="N5" s="4">
        <f>MIN(SUMIFS(Liste01[Wahl],Liste01[Platz],Liste01[[#This Row],[Platz]]),3)*(Liste01[[#This Row],[Mult]]=1)*StimmenzahlOk</f>
        <v>0</v>
      </c>
      <c r="O5" s="4">
        <f>SUMIFS(Liste01[ListVerg],Liste01[Platz],Liste01[[#This Row],[Platz]])*(Liste01[[#This Row],[Mult]]=1)*ListenkreuzeOk</f>
        <v>0</v>
      </c>
      <c r="P5" s="4">
        <f>Liste01[[#This Row],[Liste]]+Liste01[[#This Row],[Einzel]]</f>
        <v>0</v>
      </c>
      <c r="R5" s="8"/>
      <c r="S5" s="3">
        <v>201</v>
      </c>
      <c r="T5" s="32" t="s">
        <v>323</v>
      </c>
      <c r="U5" t="b">
        <f>AND((Liste02[[#This Row],[Wahl]]=0),LEN(Liste02[[#This Row],[Wahl]])=1)</f>
        <v>0</v>
      </c>
      <c r="V5">
        <f t="array" ref="V5">SUM((ROW(Liste02[Platz])&lt;=ROW())*(Liste02[Platz]=Liste02[[#This Row],[Platz]])*NOT(Liste02[IstGestrichen]))*NOT(Liste02[[#This Row],[IstGestrichen]])</f>
        <v>1</v>
      </c>
      <c r="W5">
        <f t="array" ref="W5">MIN(SUMIFS(Liste02[Wahl],Liste02[Platz],Liste02[[#This Row],[Platz]]),3)</f>
        <v>0</v>
      </c>
      <c r="X5">
        <f>(Liste02[[#This Row],[Mult]]&gt;Liste02[[#This Row],[GülzST2]])*1*NOT(Liste02[[#This Row],[IstGestrichen]])</f>
        <v>1</v>
      </c>
      <c r="Y5">
        <f>SUMIFS(Liste02[ListPot],Liste02[Platz],Liste02[[#This Row],[Platz]],Liste02[Mult],"&lt;="&amp;Liste02[[#This Row],[Mult]])+SUMIFS(Liste02[ListPot],Liste02[Platz],"&lt;"&amp;Liste02[[#This Row],[Platz]])*Liste02[[#This Row],[ListPot]]</f>
        <v>1</v>
      </c>
      <c r="Z5">
        <f>IF(AND(NOT(ISBLANK(R$3)),Liste02[[#This Row],[ListPotKum]]&lt;=Reststimmen),Liste02[[#This Row],[ListPot]],0)</f>
        <v>0</v>
      </c>
      <c r="AA5" s="4">
        <f>MIN(SUMIFS(Liste02[Wahl],Liste02[Platz],Liste02[[#This Row],[Platz]]),3)*(Liste02[[#This Row],[Mult]]=1)*StimmenzahlOk</f>
        <v>0</v>
      </c>
      <c r="AB5" s="4">
        <f>SUMIFS(Liste02[ListVerg],Liste02[Platz],Liste02[[#This Row],[Platz]])*(Liste02[[#This Row],[Mult]]=1)*ListenkreuzeOk</f>
        <v>0</v>
      </c>
      <c r="AC5" s="4">
        <f>Liste02[[#This Row],[Liste]]+Liste02[[#This Row],[Einzel]]</f>
        <v>0</v>
      </c>
      <c r="AE5" s="8"/>
      <c r="AF5" s="3">
        <v>301</v>
      </c>
      <c r="AG5" s="32" t="s">
        <v>373</v>
      </c>
      <c r="AH5" t="b">
        <f>AND((Liste03[[#This Row],[Wahl]]=0),LEN(Liste03[[#This Row],[Wahl]])=1)</f>
        <v>0</v>
      </c>
      <c r="AI5">
        <f t="array" ref="AI5">SUM((ROW(Liste03[Platz])&lt;=ROW())*(Liste03[Platz]=Liste03[[#This Row],[Platz]])*NOT(Liste03[IstGestrichen]))*NOT(Liste03[[#This Row],[IstGestrichen]])</f>
        <v>1</v>
      </c>
      <c r="AJ5">
        <f t="array" ref="AJ5">MIN(SUMIFS(Liste03[Wahl],Liste03[Platz],Liste03[[#This Row],[Platz]]),3)</f>
        <v>0</v>
      </c>
      <c r="AK5">
        <f>(Liste03[[#This Row],[Mult]]&gt;Liste03[[#This Row],[GülzST2]])*1*NOT(Liste03[[#This Row],[IstGestrichen]])</f>
        <v>1</v>
      </c>
      <c r="AL5">
        <f>SUMIFS(Liste03[ListPot],Liste03[Platz],Liste03[[#This Row],[Platz]],Liste03[Mult],"&lt;="&amp;Liste03[[#This Row],[Mult]])+SUMIFS(Liste03[ListPot],Liste03[Platz],"&lt;"&amp;Liste03[[#This Row],[Platz]])*Liste03[[#This Row],[ListPot]]</f>
        <v>1</v>
      </c>
      <c r="AM5">
        <f>IF(AND(NOT(ISBLANK(AE$3)),Liste03[[#This Row],[ListPotKum]]&lt;=Reststimmen),Liste03[[#This Row],[ListPot]],0)</f>
        <v>0</v>
      </c>
      <c r="AN5" s="4">
        <f>MIN(SUMIFS(Liste03[Wahl],Liste03[Platz],Liste03[[#This Row],[Platz]]),3)*(Liste03[[#This Row],[Mult]]=1)*StimmenzahlOk</f>
        <v>0</v>
      </c>
      <c r="AO5" s="4">
        <f>SUMIFS(Liste03[ListVerg],Liste03[Platz],Liste03[[#This Row],[Platz]])*(Liste03[[#This Row],[Mult]]=1)*ListenkreuzeOk</f>
        <v>0</v>
      </c>
      <c r="AP5" s="4">
        <f>Liste03[[#This Row],[Liste]]+Liste03[[#This Row],[Einzel]]</f>
        <v>0</v>
      </c>
      <c r="AR5" s="8"/>
      <c r="AS5" s="3"/>
      <c r="AT5" s="43" t="s">
        <v>576</v>
      </c>
      <c r="AU5" t="b">
        <f>AND((Liste04[[#This Row],[Wahl]]=0),LEN(Liste04[[#This Row],[Wahl]])=1)</f>
        <v>0</v>
      </c>
      <c r="AV5">
        <f t="array" ref="AV5">SUM((ROW(Liste04[Platz])&lt;=ROW())*(Liste04[Platz]=Liste04[[#This Row],[Platz]])*NOT(Liste04[IstGestrichen]))*NOT(Liste04[[#This Row],[IstGestrichen]])</f>
        <v>1</v>
      </c>
      <c r="AW5">
        <f t="array" ref="AW5">MIN(SUMIFS(Liste04[Wahl],Liste04[Platz],Liste04[[#This Row],[Platz]]),3)</f>
        <v>0</v>
      </c>
      <c r="AX5">
        <f>(Liste04[[#This Row],[Mult]]&gt;Liste04[[#This Row],[GülzST2]])*1*NOT(Liste04[[#This Row],[IstGestrichen]])</f>
        <v>1</v>
      </c>
      <c r="AY5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">
        <f>IF(AND(NOT(ISBLANK(AR$3)),Liste04[[#This Row],[ListPotKum]]&lt;=Reststimmen),Liste04[[#This Row],[ListPot]],0)</f>
        <v>0</v>
      </c>
      <c r="BA5" s="4">
        <f>MIN(SUMIFS(Liste04[Wahl],Liste04[Platz],Liste04[[#This Row],[Platz]]),3)*(Liste04[[#This Row],[Mult]]=1)*StimmenzahlOk</f>
        <v>0</v>
      </c>
      <c r="BB5" s="4">
        <f>SUMIFS(Liste04[ListVerg],Liste04[Platz],Liste04[[#This Row],[Platz]])*(Liste04[[#This Row],[Mult]]=1)*ListenkreuzeOk</f>
        <v>0</v>
      </c>
      <c r="BC5" s="4">
        <f>Liste04[[#This Row],[Liste]]+Liste04[[#This Row],[Einzel]]</f>
        <v>0</v>
      </c>
      <c r="BE5" s="8"/>
      <c r="BF5" s="3">
        <v>501</v>
      </c>
      <c r="BG5" s="32" t="s">
        <v>424</v>
      </c>
      <c r="BH5" t="b">
        <f>AND((Liste05[[#This Row],[Wahl]]=0),LEN(Liste05[[#This Row],[Wahl]])=1)</f>
        <v>0</v>
      </c>
      <c r="BI5">
        <f t="array" ref="BI5">SUM((ROW(Liste05[Platz])&lt;=ROW())*(Liste05[Platz]=Liste05[[#This Row],[Platz]])*NOT(Liste05[IstGestrichen]))*NOT(Liste05[[#This Row],[IstGestrichen]])</f>
        <v>1</v>
      </c>
      <c r="BJ5">
        <f t="array" ref="BJ5">MIN(SUMIFS(Liste05[Wahl],Liste05[Platz],Liste05[[#This Row],[Platz]]),3)</f>
        <v>0</v>
      </c>
      <c r="BK5">
        <f>(Liste05[[#This Row],[Mult]]&gt;Liste05[[#This Row],[GülzST2]])*1*NOT(Liste05[[#This Row],[IstGestrichen]])</f>
        <v>1</v>
      </c>
      <c r="BL5">
        <f>SUMIFS(Liste05[ListPot],Liste05[Platz],Liste05[[#This Row],[Platz]],Liste05[Mult],"&lt;="&amp;Liste05[[#This Row],[Mult]])+SUMIFS(Liste05[ListPot],Liste05[Platz],"&lt;"&amp;Liste05[[#This Row],[Platz]])*Liste05[[#This Row],[ListPot]]</f>
        <v>1</v>
      </c>
      <c r="BM5">
        <f>IF(AND(NOT(ISBLANK(BE$3)),Liste05[[#This Row],[ListPotKum]]&lt;=Reststimmen),Liste05[[#This Row],[ListPot]],0)</f>
        <v>0</v>
      </c>
      <c r="BN5" s="4">
        <f>MIN(SUMIFS(Liste05[Wahl],Liste05[Platz],Liste05[[#This Row],[Platz]]),3)*(Liste05[[#This Row],[Mult]]=1)*StimmenzahlOk</f>
        <v>0</v>
      </c>
      <c r="BO5" s="4">
        <f>SUMIFS(Liste05[ListVerg],Liste05[Platz],Liste05[[#This Row],[Platz]])*(Liste05[[#This Row],[Mult]]=1)*ListenkreuzeOk</f>
        <v>0</v>
      </c>
      <c r="BP5" s="4">
        <f>Liste05[[#This Row],[Liste]]+Liste05[[#This Row],[Einzel]]</f>
        <v>0</v>
      </c>
      <c r="BR5" s="8"/>
      <c r="BS5" s="3"/>
      <c r="BT5" s="28"/>
      <c r="BU5" t="b">
        <f>AND((Liste06[[#This Row],[Spalte1]]=0),LEN(Liste06[[#This Row],[Spalte1]])=1)</f>
        <v>0</v>
      </c>
      <c r="BV5">
        <f t="array" ref="BV5">SUM((ROW(Liste06[Spalte2])&lt;=ROW())*(Liste06[Spalte2]=Liste06[[#This Row],[Spalte2]])*NOT(Liste06[IstGestrichen]))*NOT(Liste06[[#This Row],[IstGestrichen]])</f>
        <v>1</v>
      </c>
      <c r="BW5">
        <f t="array" ref="BW5">MIN(SUMIFS(Liste06[Spalte1],Liste06[Spalte2],Liste06[[#This Row],[Spalte2]]),3)</f>
        <v>0</v>
      </c>
      <c r="BX5">
        <f>(Liste06[[#This Row],[Mult]]&gt;Liste06[[#This Row],[GülzST2]])*1*NOT(Liste06[[#This Row],[IstGestrichen]])</f>
        <v>1</v>
      </c>
      <c r="BY5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5">
        <f>IF(AND(NOT(ISBLANK(BR$3)),Liste06[[#This Row],[ListPotKum]]&lt;=Reststimmen),Liste06[[#This Row],[ListPot]],0)</f>
        <v>0</v>
      </c>
      <c r="CA5" s="4">
        <f>MIN(SUMIFS(Liste06[Spalte1],Liste06[Spalte2],Liste06[[#This Row],[Spalte2]]),3)*(Liste06[[#This Row],[Mult]]=1)*StimmenzahlOk</f>
        <v>0</v>
      </c>
      <c r="CB5" s="4">
        <f>SUMIFS(Liste06[ListVerg],Liste06[Spalte2],Liste06[[#This Row],[Spalte2]])*(Liste06[[#This Row],[Mult]]=1)*ListenkreuzeOk</f>
        <v>0</v>
      </c>
      <c r="CC5" s="4">
        <f>Liste06[[#This Row],[Liste]]+Liste06[[#This Row],[Einzel]]</f>
        <v>0</v>
      </c>
      <c r="CE5" s="8"/>
      <c r="CF5" s="3">
        <v>701</v>
      </c>
      <c r="CG5" s="32" t="s">
        <v>475</v>
      </c>
      <c r="CH5" t="b">
        <f>AND((Liste07[[#This Row],[Wahl]]=0),LEN(Liste07[[#This Row],[Wahl]])=1)</f>
        <v>0</v>
      </c>
      <c r="CI5">
        <f t="array" ref="CI5">SUM((ROW(Liste07[Platz])&lt;=ROW())*(Liste07[Platz]=Liste07[[#This Row],[Platz]])*NOT(Liste07[IstGestrichen]))*NOT(Liste07[[#This Row],[IstGestrichen]])</f>
        <v>1</v>
      </c>
      <c r="CJ5">
        <f t="array" ref="CJ5">MIN(SUMIFS(Liste07[Wahl],Liste07[Platz],Liste07[[#This Row],[Platz]]),3)</f>
        <v>0</v>
      </c>
      <c r="CK5">
        <f>(Liste07[[#This Row],[Mult]]&gt;Liste07[[#This Row],[GülzST2]])*1*NOT(Liste07[[#This Row],[IstGestrichen]])</f>
        <v>1</v>
      </c>
      <c r="CL5">
        <f>SUMIFS(Liste07[ListPot],Liste07[Platz],Liste07[[#This Row],[Platz]],Liste07[Mult],"&lt;="&amp;Liste07[[#This Row],[Mult]])+SUMIFS(Liste07[ListPot],Liste07[Platz],"&lt;"&amp;Liste07[[#This Row],[Platz]])*Liste07[[#This Row],[ListPot]]</f>
        <v>1</v>
      </c>
      <c r="CM5">
        <f>IF(AND(NOT(ISBLANK(CE$3)),Liste07[[#This Row],[ListPotKum]]&lt;=Reststimmen),Liste07[[#This Row],[ListPot]],0)</f>
        <v>0</v>
      </c>
      <c r="CN5" s="4">
        <f>MIN(SUMIFS(Liste07[Wahl],Liste07[Platz],Liste07[[#This Row],[Platz]]),3)*(Liste07[[#This Row],[Mult]]=1)*StimmenzahlOk</f>
        <v>0</v>
      </c>
      <c r="CO5" s="4">
        <f>SUMIFS(Liste07[ListVerg],Liste07[Platz],Liste07[[#This Row],[Platz]])*(Liste07[[#This Row],[Mult]]=1)*ListenkreuzeOk</f>
        <v>0</v>
      </c>
      <c r="CP5" s="4">
        <f>Liste07[[#This Row],[Liste]]+Liste07[[#This Row],[Einzel]]</f>
        <v>0</v>
      </c>
      <c r="CR5" s="8"/>
      <c r="CS5" s="3">
        <v>801</v>
      </c>
      <c r="CT5" s="32" t="s">
        <v>526</v>
      </c>
      <c r="CU5" t="b">
        <f>AND((Liste08[[#This Row],[Wahl]]=0),LEN(Liste08[[#This Row],[Wahl]])=1)</f>
        <v>0</v>
      </c>
      <c r="CV5">
        <f t="array" ref="CV5">SUM((ROW(Liste08[Platz])&lt;=ROW())*(Liste08[Platz]=Liste08[[#This Row],[Platz]])*NOT(Liste08[IstGestrichen]))*NOT(Liste08[[#This Row],[IstGestrichen]])</f>
        <v>1</v>
      </c>
      <c r="CW5">
        <f t="array" ref="CW5">MIN(SUMIFS(Liste08[Wahl],Liste08[Platz],Liste08[[#This Row],[Platz]]),3)</f>
        <v>0</v>
      </c>
      <c r="CX5">
        <f>(Liste08[[#This Row],[Mult]]&gt;Liste08[[#This Row],[GülzST2]])*1*NOT(Liste08[[#This Row],[IstGestrichen]])</f>
        <v>1</v>
      </c>
      <c r="CY5">
        <f>SUMIFS(Liste08[ListPot],Liste08[Platz],Liste08[[#This Row],[Platz]],Liste08[Mult],"&lt;="&amp;Liste08[[#This Row],[Mult]])+SUMIFS(Liste08[ListPot],Liste08[Platz],"&lt;"&amp;Liste08[[#This Row],[Platz]])*Liste08[[#This Row],[ListPot]]</f>
        <v>1</v>
      </c>
      <c r="CZ5">
        <f>IF(AND(NOT(ISBLANK(CR$3)),Liste08[[#This Row],[ListPotKum]]&lt;=Reststimmen),Liste08[[#This Row],[ListPot]],0)</f>
        <v>0</v>
      </c>
      <c r="DA5" s="4">
        <f>MIN(SUMIFS(Liste08[Wahl],Liste08[Platz],Liste08[[#This Row],[Platz]]),3)*(Liste08[[#This Row],[Mult]]=1)*StimmenzahlOk</f>
        <v>0</v>
      </c>
      <c r="DB5" s="4">
        <f>SUMIFS(Liste08[ListVerg],Liste08[Platz],Liste08[[#This Row],[Platz]])*(Liste08[[#This Row],[Mult]]=1)*ListenkreuzeOk</f>
        <v>0</v>
      </c>
      <c r="DC5" s="4">
        <f>Liste08[[#This Row],[Liste]]+Liste08[[#This Row],[Einzel]]</f>
        <v>0</v>
      </c>
      <c r="DE5" s="8"/>
      <c r="DF5" s="3"/>
      <c r="DG5" s="32"/>
      <c r="DH5" t="b">
        <f>AND((Liste09[[#This Row],[Wahl]]=0),LEN(Liste09[[#This Row],[Wahl]])=1)</f>
        <v>0</v>
      </c>
      <c r="DI5">
        <f t="array" ref="DI5">SUM((ROW(Liste09[Platz])&lt;=ROW())*(Liste09[Platz]=Liste09[[#This Row],[Platz]])*NOT(Liste09[IstGestrichen]))*NOT(Liste09[[#This Row],[IstGestrichen]])</f>
        <v>1</v>
      </c>
      <c r="DJ5">
        <f t="array" ref="DJ5">MIN(SUMIFS(Liste09[Wahl],Liste09[Platz],Liste09[[#This Row],[Platz]]),3)</f>
        <v>0</v>
      </c>
      <c r="DK5">
        <f>(Liste09[[#This Row],[Mult]]&gt;Liste09[[#This Row],[GülzST2]])*1*NOT(Liste09[[#This Row],[IstGestrichen]])</f>
        <v>1</v>
      </c>
      <c r="DL5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5">
        <f>IF(AND(NOT(ISBLANK(DE$3)),Liste09[[#This Row],[ListPotKum]]&lt;=Reststimmen),Liste09[[#This Row],[ListPot]],0)</f>
        <v>0</v>
      </c>
      <c r="DN5" s="4">
        <f>MIN(SUMIFS(Liste09[Wahl],Liste09[Platz],Liste09[[#This Row],[Platz]]),3)*(Liste09[[#This Row],[Mult]]=1)*StimmenzahlOk</f>
        <v>0</v>
      </c>
      <c r="DO5" s="4">
        <f>SUMIFS(Liste09[ListVerg],Liste09[Platz],Liste09[[#This Row],[Platz]])*(Liste09[[#This Row],[Mult]]=1)*ListenkreuzeOk</f>
        <v>0</v>
      </c>
      <c r="DP5" s="4">
        <f>Liste09[[#This Row],[Liste]]+Liste09[[#This Row],[Einzel]]</f>
        <v>0</v>
      </c>
    </row>
    <row r="6" spans="1:131" ht="15.75" x14ac:dyDescent="0.25">
      <c r="A6" s="13" t="s">
        <v>13</v>
      </c>
      <c r="B6" s="21">
        <f>Liste01[[#Totals],[Wahl]]+Liste02[[#Totals],[Wahl]]+Liste03[[#Totals],[Wahl]]+Liste04[[#Totals],[Wahl]]+Liste05[[#Totals],[Wahl]]+Liste06[[#Totals],[Spalte1]]+Liste07[[#Totals],[Wahl]]+Liste08[[#Totals],[Wahl]]+Liste09[[#Totals],[Wahl]]</f>
        <v>0</v>
      </c>
      <c r="E6" s="8"/>
      <c r="F6" s="3">
        <v>102</v>
      </c>
      <c r="G6" s="2" t="s">
        <v>274</v>
      </c>
      <c r="H6" t="b">
        <f>AND((Liste01[[#This Row],[Wahl]]=0),LEN(Liste01[[#This Row],[Wahl]])=1)</f>
        <v>0</v>
      </c>
      <c r="I6">
        <f t="array" ref="I6">SUM((ROW(Liste01[Platz])&lt;=ROW())*(Liste01[Platz]=Liste01[[#This Row],[Platz]])*NOT(Liste01[IstGestrichen]))*NOT(Liste01[[#This Row],[IstGestrichen]])</f>
        <v>1</v>
      </c>
      <c r="J6">
        <f t="array" ref="J6">MIN(SUMIFS(Liste01[Wahl],Liste01[Platz],Liste01[[#This Row],[Platz]]),3)</f>
        <v>0</v>
      </c>
      <c r="K6">
        <f>(Liste01[[#This Row],[Mult]]&gt;Liste01[[#This Row],[GülzST2]])*1*NOT(Liste01[[#This Row],[IstGestrichen]])</f>
        <v>1</v>
      </c>
      <c r="L6">
        <f>SUMIFS(Liste01[ListPot],Liste01[Platz],Liste01[[#This Row],[Platz]],Liste01[Mult],"&lt;="&amp;Liste01[[#This Row],[Mult]])+SUMIFS(Liste01[ListPot],Liste01[Platz],"&lt;"&amp;Liste01[[#This Row],[Platz]])*Liste01[[#This Row],[ListPot]]</f>
        <v>2</v>
      </c>
      <c r="M6">
        <f>IF(AND(NOT(ISBLANK(E$3)),Liste01[[#This Row],[ListPotKum]]&lt;=Reststimmen),Liste01[[#This Row],[ListPot]],0)</f>
        <v>0</v>
      </c>
      <c r="N6" s="4">
        <f>MIN(SUMIFS(Liste01[Wahl],Liste01[Platz],Liste01[[#This Row],[Platz]]),3)*(Liste01[[#This Row],[Mult]]=1)*StimmenzahlOk</f>
        <v>0</v>
      </c>
      <c r="O6" s="4">
        <f>SUMIFS(Liste01[ListVerg],Liste01[Platz],Liste01[[#This Row],[Platz]])*(Liste01[[#This Row],[Mult]]=1)*ListenkreuzeOk</f>
        <v>0</v>
      </c>
      <c r="P6" s="4">
        <f>Liste01[[#This Row],[Liste]]+Liste01[[#This Row],[Einzel]]</f>
        <v>0</v>
      </c>
      <c r="R6" s="8"/>
      <c r="S6" s="3">
        <v>202</v>
      </c>
      <c r="T6" s="32" t="s">
        <v>324</v>
      </c>
      <c r="U6" t="b">
        <f>AND((Liste02[[#This Row],[Wahl]]=0),LEN(Liste02[[#This Row],[Wahl]])=1)</f>
        <v>0</v>
      </c>
      <c r="V6">
        <f t="array" ref="V6">SUM((ROW(Liste02[Platz])&lt;=ROW())*(Liste02[Platz]=Liste02[[#This Row],[Platz]])*NOT(Liste02[IstGestrichen]))*NOT(Liste02[[#This Row],[IstGestrichen]])</f>
        <v>1</v>
      </c>
      <c r="W6">
        <f t="array" ref="W6">MIN(SUMIFS(Liste02[Wahl],Liste02[Platz],Liste02[[#This Row],[Platz]]),3)</f>
        <v>0</v>
      </c>
      <c r="X6">
        <f>(Liste02[[#This Row],[Mult]]&gt;Liste02[[#This Row],[GülzST2]])*1*NOT(Liste02[[#This Row],[IstGestrichen]])</f>
        <v>1</v>
      </c>
      <c r="Y6">
        <f>SUMIFS(Liste02[ListPot],Liste02[Platz],Liste02[[#This Row],[Platz]],Liste02[Mult],"&lt;="&amp;Liste02[[#This Row],[Mult]])+SUMIFS(Liste02[ListPot],Liste02[Platz],"&lt;"&amp;Liste02[[#This Row],[Platz]])*Liste02[[#This Row],[ListPot]]</f>
        <v>2</v>
      </c>
      <c r="Z6">
        <f>IF(AND(NOT(ISBLANK(R$3)),Liste02[[#This Row],[ListPotKum]]&lt;=Reststimmen),Liste02[[#This Row],[ListPot]],0)</f>
        <v>0</v>
      </c>
      <c r="AA6" s="4">
        <f>MIN(SUMIFS(Liste02[Wahl],Liste02[Platz],Liste02[[#This Row],[Platz]]),3)*(Liste02[[#This Row],[Mult]]=1)*StimmenzahlOk</f>
        <v>0</v>
      </c>
      <c r="AB6" s="4">
        <f>SUMIFS(Liste02[ListVerg],Liste02[Platz],Liste02[[#This Row],[Platz]])*(Liste02[[#This Row],[Mult]]=1)*ListenkreuzeOk</f>
        <v>0</v>
      </c>
      <c r="AC6" s="4">
        <f>Liste02[[#This Row],[Liste]]+Liste02[[#This Row],[Einzel]]</f>
        <v>0</v>
      </c>
      <c r="AE6" s="8"/>
      <c r="AF6" s="3">
        <v>302</v>
      </c>
      <c r="AG6" s="32" t="s">
        <v>374</v>
      </c>
      <c r="AH6" t="b">
        <f>AND((Liste03[[#This Row],[Wahl]]=0),LEN(Liste03[[#This Row],[Wahl]])=1)</f>
        <v>0</v>
      </c>
      <c r="AI6">
        <f t="array" ref="AI6">SUM((ROW(Liste03[Platz])&lt;=ROW())*(Liste03[Platz]=Liste03[[#This Row],[Platz]])*NOT(Liste03[IstGestrichen]))*NOT(Liste03[[#This Row],[IstGestrichen]])</f>
        <v>1</v>
      </c>
      <c r="AJ6">
        <f t="array" ref="AJ6">MIN(SUMIFS(Liste03[Wahl],Liste03[Platz],Liste03[[#This Row],[Platz]]),3)</f>
        <v>0</v>
      </c>
      <c r="AK6">
        <f>(Liste03[[#This Row],[Mult]]&gt;Liste03[[#This Row],[GülzST2]])*1*NOT(Liste03[[#This Row],[IstGestrichen]])</f>
        <v>1</v>
      </c>
      <c r="AL6">
        <f>SUMIFS(Liste03[ListPot],Liste03[Platz],Liste03[[#This Row],[Platz]],Liste03[Mult],"&lt;="&amp;Liste03[[#This Row],[Mult]])+SUMIFS(Liste03[ListPot],Liste03[Platz],"&lt;"&amp;Liste03[[#This Row],[Platz]])*Liste03[[#This Row],[ListPot]]</f>
        <v>2</v>
      </c>
      <c r="AM6">
        <f>IF(AND(NOT(ISBLANK(AE$3)),Liste03[[#This Row],[ListPotKum]]&lt;=Reststimmen),Liste03[[#This Row],[ListPot]],0)</f>
        <v>0</v>
      </c>
      <c r="AN6" s="4">
        <f>MIN(SUMIFS(Liste03[Wahl],Liste03[Platz],Liste03[[#This Row],[Platz]]),3)*(Liste03[[#This Row],[Mult]]=1)*StimmenzahlOk</f>
        <v>0</v>
      </c>
      <c r="AO6" s="4">
        <f>SUMIFS(Liste03[ListVerg],Liste03[Platz],Liste03[[#This Row],[Platz]])*(Liste03[[#This Row],[Mult]]=1)*ListenkreuzeOk</f>
        <v>0</v>
      </c>
      <c r="AP6" s="4">
        <f>Liste03[[#This Row],[Liste]]+Liste03[[#This Row],[Einzel]]</f>
        <v>0</v>
      </c>
      <c r="AR6" s="8"/>
      <c r="AS6" s="3"/>
      <c r="AT6" s="28"/>
      <c r="AU6" t="b">
        <f>AND((Liste04[[#This Row],[Wahl]]=0),LEN(Liste04[[#This Row],[Wahl]])=1)</f>
        <v>0</v>
      </c>
      <c r="AV6">
        <f t="array" ref="AV6">SUM((ROW(Liste04[Platz])&lt;=ROW())*(Liste04[Platz]=Liste04[[#This Row],[Platz]])*NOT(Liste04[IstGestrichen]))*NOT(Liste04[[#This Row],[IstGestrichen]])</f>
        <v>2</v>
      </c>
      <c r="AW6">
        <f t="array" ref="AW6">MIN(SUMIFS(Liste04[Wahl],Liste04[Platz],Liste04[[#This Row],[Platz]]),3)</f>
        <v>0</v>
      </c>
      <c r="AX6">
        <f>(Liste04[[#This Row],[Mult]]&gt;Liste04[[#This Row],[GülzST2]])*1*NOT(Liste04[[#This Row],[IstGestrichen]])</f>
        <v>1</v>
      </c>
      <c r="AY6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6">
        <f>IF(AND(NOT(ISBLANK(AR$3)),Liste04[[#This Row],[ListPotKum]]&lt;=Reststimmen),Liste04[[#This Row],[ListPot]],0)</f>
        <v>0</v>
      </c>
      <c r="BA6" s="4">
        <f>MIN(SUMIFS(Liste04[Wahl],Liste04[Platz],Liste04[[#This Row],[Platz]]),3)*(Liste04[[#This Row],[Mult]]=1)*StimmenzahlOk</f>
        <v>0</v>
      </c>
      <c r="BB6" s="4">
        <f>SUMIFS(Liste04[ListVerg],Liste04[Platz],Liste04[[#This Row],[Platz]])*(Liste04[[#This Row],[Mult]]=1)*ListenkreuzeOk</f>
        <v>0</v>
      </c>
      <c r="BC6" s="4">
        <f>Liste04[[#This Row],[Liste]]+Liste04[[#This Row],[Einzel]]</f>
        <v>0</v>
      </c>
      <c r="BE6" s="8"/>
      <c r="BF6" s="3">
        <v>502</v>
      </c>
      <c r="BG6" s="28" t="s">
        <v>425</v>
      </c>
      <c r="BH6" t="b">
        <f>AND((Liste05[[#This Row],[Wahl]]=0),LEN(Liste05[[#This Row],[Wahl]])=1)</f>
        <v>0</v>
      </c>
      <c r="BI6">
        <f t="array" ref="BI6">SUM((ROW(Liste05[Platz])&lt;=ROW())*(Liste05[Platz]=Liste05[[#This Row],[Platz]])*NOT(Liste05[IstGestrichen]))*NOT(Liste05[[#This Row],[IstGestrichen]])</f>
        <v>1</v>
      </c>
      <c r="BJ6">
        <f t="array" ref="BJ6">MIN(SUMIFS(Liste05[Wahl],Liste05[Platz],Liste05[[#This Row],[Platz]]),3)</f>
        <v>0</v>
      </c>
      <c r="BK6">
        <f>(Liste05[[#This Row],[Mult]]&gt;Liste05[[#This Row],[GülzST2]])*1*NOT(Liste05[[#This Row],[IstGestrichen]])</f>
        <v>1</v>
      </c>
      <c r="BL6">
        <f>SUMIFS(Liste05[ListPot],Liste05[Platz],Liste05[[#This Row],[Platz]],Liste05[Mult],"&lt;="&amp;Liste05[[#This Row],[Mult]])+SUMIFS(Liste05[ListPot],Liste05[Platz],"&lt;"&amp;Liste05[[#This Row],[Platz]])*Liste05[[#This Row],[ListPot]]</f>
        <v>2</v>
      </c>
      <c r="BM6">
        <f>IF(AND(NOT(ISBLANK(BE$3)),Liste05[[#This Row],[ListPotKum]]&lt;=Reststimmen),Liste05[[#This Row],[ListPot]],0)</f>
        <v>0</v>
      </c>
      <c r="BN6" s="4">
        <f>MIN(SUMIFS(Liste05[Wahl],Liste05[Platz],Liste05[[#This Row],[Platz]]),3)*(Liste05[[#This Row],[Mult]]=1)*StimmenzahlOk</f>
        <v>0</v>
      </c>
      <c r="BO6" s="4">
        <f>SUMIFS(Liste05[ListVerg],Liste05[Platz],Liste05[[#This Row],[Platz]])*(Liste05[[#This Row],[Mult]]=1)*ListenkreuzeOk</f>
        <v>0</v>
      </c>
      <c r="BP6" s="4">
        <f>Liste05[[#This Row],[Liste]]+Liste05[[#This Row],[Einzel]]</f>
        <v>0</v>
      </c>
      <c r="BR6" s="8"/>
      <c r="BS6" s="3"/>
      <c r="BT6" s="34"/>
      <c r="BU6" t="b">
        <f>AND((Liste06[[#This Row],[Spalte1]]=0),LEN(Liste06[[#This Row],[Spalte1]])=1)</f>
        <v>0</v>
      </c>
      <c r="BV6">
        <f t="array" ref="BV6">SUM((ROW(Liste06[Spalte2])&lt;=ROW())*(Liste06[Spalte2]=Liste06[[#This Row],[Spalte2]])*NOT(Liste06[IstGestrichen]))*NOT(Liste06[[#This Row],[IstGestrichen]])</f>
        <v>2</v>
      </c>
      <c r="BW6">
        <f t="array" ref="BW6">MIN(SUMIFS(Liste06[Spalte1],Liste06[Spalte2],Liste06[[#This Row],[Spalte2]]),3)</f>
        <v>0</v>
      </c>
      <c r="BX6">
        <f>(Liste06[[#This Row],[Mult]]&gt;Liste06[[#This Row],[GülzST2]])*1*NOT(Liste06[[#This Row],[IstGestrichen]])</f>
        <v>1</v>
      </c>
      <c r="BY6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6">
        <f>IF(AND(NOT(ISBLANK(BR$3)),Liste06[[#This Row],[ListPotKum]]&lt;=Reststimmen),Liste06[[#This Row],[ListPot]],0)</f>
        <v>0</v>
      </c>
      <c r="CA6" s="4">
        <f>MIN(SUMIFS(Liste06[Spalte1],Liste06[Spalte2],Liste06[[#This Row],[Spalte2]]),3)*(Liste06[[#This Row],[Mult]]=1)*StimmenzahlOk</f>
        <v>0</v>
      </c>
      <c r="CB6" s="4">
        <f>SUMIFS(Liste06[ListVerg],Liste06[Spalte2],Liste06[[#This Row],[Spalte2]])*(Liste06[[#This Row],[Mult]]=1)*ListenkreuzeOk</f>
        <v>0</v>
      </c>
      <c r="CC6" s="4">
        <f>Liste06[[#This Row],[Liste]]+Liste06[[#This Row],[Einzel]]</f>
        <v>0</v>
      </c>
      <c r="CE6" s="8"/>
      <c r="CF6" s="3">
        <v>702</v>
      </c>
      <c r="CG6" s="28" t="s">
        <v>476</v>
      </c>
      <c r="CH6" t="b">
        <f>AND((Liste07[[#This Row],[Wahl]]=0),LEN(Liste07[[#This Row],[Wahl]])=1)</f>
        <v>0</v>
      </c>
      <c r="CI6">
        <f t="array" ref="CI6">SUM((ROW(Liste07[Platz])&lt;=ROW())*(Liste07[Platz]=Liste07[[#This Row],[Platz]])*NOT(Liste07[IstGestrichen]))*NOT(Liste07[[#This Row],[IstGestrichen]])</f>
        <v>1</v>
      </c>
      <c r="CJ6">
        <f t="array" ref="CJ6">MIN(SUMIFS(Liste07[Wahl],Liste07[Platz],Liste07[[#This Row],[Platz]]),3)</f>
        <v>0</v>
      </c>
      <c r="CK6">
        <f>(Liste07[[#This Row],[Mult]]&gt;Liste07[[#This Row],[GülzST2]])*1*NOT(Liste07[[#This Row],[IstGestrichen]])</f>
        <v>1</v>
      </c>
      <c r="CL6">
        <f>SUMIFS(Liste07[ListPot],Liste07[Platz],Liste07[[#This Row],[Platz]],Liste07[Mult],"&lt;="&amp;Liste07[[#This Row],[Mult]])+SUMIFS(Liste07[ListPot],Liste07[Platz],"&lt;"&amp;Liste07[[#This Row],[Platz]])*Liste07[[#This Row],[ListPot]]</f>
        <v>2</v>
      </c>
      <c r="CM6">
        <f>IF(AND(NOT(ISBLANK(CE$3)),Liste07[[#This Row],[ListPotKum]]&lt;=Reststimmen),Liste07[[#This Row],[ListPot]],0)</f>
        <v>0</v>
      </c>
      <c r="CN6" s="4">
        <f>MIN(SUMIFS(Liste07[Wahl],Liste07[Platz],Liste07[[#This Row],[Platz]]),3)*(Liste07[[#This Row],[Mult]]=1)*StimmenzahlOk</f>
        <v>0</v>
      </c>
      <c r="CO6" s="4">
        <f>SUMIFS(Liste07[ListVerg],Liste07[Platz],Liste07[[#This Row],[Platz]])*(Liste07[[#This Row],[Mult]]=1)*ListenkreuzeOk</f>
        <v>0</v>
      </c>
      <c r="CP6" s="4">
        <f>Liste07[[#This Row],[Liste]]+Liste07[[#This Row],[Einzel]]</f>
        <v>0</v>
      </c>
      <c r="CR6" s="8"/>
      <c r="CS6" s="3">
        <v>802</v>
      </c>
      <c r="CT6" s="28" t="s">
        <v>527</v>
      </c>
      <c r="CU6" t="b">
        <f>AND((Liste08[[#This Row],[Wahl]]=0),LEN(Liste08[[#This Row],[Wahl]])=1)</f>
        <v>0</v>
      </c>
      <c r="CV6">
        <f t="array" ref="CV6">SUM((ROW(Liste08[Platz])&lt;=ROW())*(Liste08[Platz]=Liste08[[#This Row],[Platz]])*NOT(Liste08[IstGestrichen]))*NOT(Liste08[[#This Row],[IstGestrichen]])</f>
        <v>1</v>
      </c>
      <c r="CW6">
        <f t="array" ref="CW6">MIN(SUMIFS(Liste08[Wahl],Liste08[Platz],Liste08[[#This Row],[Platz]]),3)</f>
        <v>0</v>
      </c>
      <c r="CX6">
        <f>(Liste08[[#This Row],[Mult]]&gt;Liste08[[#This Row],[GülzST2]])*1*NOT(Liste08[[#This Row],[IstGestrichen]])</f>
        <v>1</v>
      </c>
      <c r="CY6">
        <f>SUMIFS(Liste08[ListPot],Liste08[Platz],Liste08[[#This Row],[Platz]],Liste08[Mult],"&lt;="&amp;Liste08[[#This Row],[Mult]])+SUMIFS(Liste08[ListPot],Liste08[Platz],"&lt;"&amp;Liste08[[#This Row],[Platz]])*Liste08[[#This Row],[ListPot]]</f>
        <v>2</v>
      </c>
      <c r="CZ6">
        <f>IF(AND(NOT(ISBLANK(CR$3)),Liste08[[#This Row],[ListPotKum]]&lt;=Reststimmen),Liste08[[#This Row],[ListPot]],0)</f>
        <v>0</v>
      </c>
      <c r="DA6" s="4">
        <f>MIN(SUMIFS(Liste08[Wahl],Liste08[Platz],Liste08[[#This Row],[Platz]]),3)*(Liste08[[#This Row],[Mult]]=1)*StimmenzahlOk</f>
        <v>0</v>
      </c>
      <c r="DB6" s="4">
        <f>SUMIFS(Liste08[ListVerg],Liste08[Platz],Liste08[[#This Row],[Platz]])*(Liste08[[#This Row],[Mult]]=1)*ListenkreuzeOk</f>
        <v>0</v>
      </c>
      <c r="DC6" s="4">
        <f>Liste08[[#This Row],[Liste]]+Liste08[[#This Row],[Einzel]]</f>
        <v>0</v>
      </c>
      <c r="DE6" s="8"/>
      <c r="DF6" s="3"/>
      <c r="DG6" s="28"/>
      <c r="DH6" t="b">
        <f>AND((Liste09[[#This Row],[Wahl]]=0),LEN(Liste09[[#This Row],[Wahl]])=1)</f>
        <v>0</v>
      </c>
      <c r="DI6">
        <f t="array" ref="DI6">SUM((ROW(Liste09[Platz])&lt;=ROW())*(Liste09[Platz]=Liste09[[#This Row],[Platz]])*NOT(Liste09[IstGestrichen]))*NOT(Liste09[[#This Row],[IstGestrichen]])</f>
        <v>2</v>
      </c>
      <c r="DJ6">
        <f t="array" ref="DJ6">MIN(SUMIFS(Liste09[Wahl],Liste09[Platz],Liste09[[#This Row],[Platz]]),3)</f>
        <v>0</v>
      </c>
      <c r="DK6">
        <f>(Liste09[[#This Row],[Mult]]&gt;Liste09[[#This Row],[GülzST2]])*1*NOT(Liste09[[#This Row],[IstGestrichen]])</f>
        <v>1</v>
      </c>
      <c r="DL6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6">
        <f>IF(AND(NOT(ISBLANK(DE$3)),Liste09[[#This Row],[ListPotKum]]&lt;=Reststimmen),Liste09[[#This Row],[ListPot]],0)</f>
        <v>0</v>
      </c>
      <c r="DN6" s="4">
        <f>MIN(SUMIFS(Liste09[Wahl],Liste09[Platz],Liste09[[#This Row],[Platz]]),3)*(Liste09[[#This Row],[Mult]]=1)*StimmenzahlOk</f>
        <v>0</v>
      </c>
      <c r="DO6" s="4">
        <f>SUMIFS(Liste09[ListVerg],Liste09[Platz],Liste09[[#This Row],[Platz]])*(Liste09[[#This Row],[Mult]]=1)*ListenkreuzeOk</f>
        <v>0</v>
      </c>
      <c r="DP6" s="4">
        <f>Liste09[[#This Row],[Liste]]+Liste09[[#This Row],[Einzel]]</f>
        <v>0</v>
      </c>
    </row>
    <row r="7" spans="1:131" ht="15.75" x14ac:dyDescent="0.25">
      <c r="A7" s="13" t="s">
        <v>21</v>
      </c>
      <c r="B7" s="22" t="b">
        <f>VergebeneEinzelstimmen&lt;=MaxStimmen</f>
        <v>1</v>
      </c>
      <c r="E7" s="8"/>
      <c r="F7" s="3">
        <v>103</v>
      </c>
      <c r="G7" s="2" t="s">
        <v>275</v>
      </c>
      <c r="H7" t="b">
        <f>AND((Liste01[[#This Row],[Wahl]]=0),LEN(Liste01[[#This Row],[Wahl]])=1)</f>
        <v>0</v>
      </c>
      <c r="I7">
        <f t="array" ref="I7">SUM((ROW(Liste01[Platz])&lt;=ROW())*(Liste01[Platz]=Liste01[[#This Row],[Platz]])*NOT(Liste01[IstGestrichen]))*NOT(Liste01[[#This Row],[IstGestrichen]])</f>
        <v>1</v>
      </c>
      <c r="J7">
        <f t="array" ref="J7">MIN(SUMIFS(Liste01[Wahl],Liste01[Platz],Liste01[[#This Row],[Platz]]),3)</f>
        <v>0</v>
      </c>
      <c r="K7">
        <f>(Liste01[[#This Row],[Mult]]&gt;Liste01[[#This Row],[GülzST2]])*1*NOT(Liste01[[#This Row],[IstGestrichen]])</f>
        <v>1</v>
      </c>
      <c r="L7">
        <f>SUMIFS(Liste01[ListPot],Liste01[Platz],Liste01[[#This Row],[Platz]],Liste01[Mult],"&lt;="&amp;Liste01[[#This Row],[Mult]])+SUMIFS(Liste01[ListPot],Liste01[Platz],"&lt;"&amp;Liste01[[#This Row],[Platz]])*Liste01[[#This Row],[ListPot]]</f>
        <v>3</v>
      </c>
      <c r="M7">
        <f>IF(AND(NOT(ISBLANK(E$3)),Liste01[[#This Row],[ListPotKum]]&lt;=Reststimmen),Liste01[[#This Row],[ListPot]],0)</f>
        <v>0</v>
      </c>
      <c r="N7" s="4">
        <f>MIN(SUMIFS(Liste01[Wahl],Liste01[Platz],Liste01[[#This Row],[Platz]]),3)*(Liste01[[#This Row],[Mult]]=1)*StimmenzahlOk</f>
        <v>0</v>
      </c>
      <c r="O7" s="4">
        <f>SUMIFS(Liste01[ListVerg],Liste01[Platz],Liste01[[#This Row],[Platz]])*(Liste01[[#This Row],[Mult]]=1)*ListenkreuzeOk</f>
        <v>0</v>
      </c>
      <c r="P7" s="4">
        <f>Liste01[[#This Row],[Liste]]+Liste01[[#This Row],[Einzel]]</f>
        <v>0</v>
      </c>
      <c r="R7" s="8"/>
      <c r="S7" s="3">
        <v>203</v>
      </c>
      <c r="T7" s="28" t="s">
        <v>325</v>
      </c>
      <c r="U7" t="b">
        <f>AND((Liste02[[#This Row],[Wahl]]=0),LEN(Liste02[[#This Row],[Wahl]])=1)</f>
        <v>0</v>
      </c>
      <c r="V7">
        <f t="array" ref="V7">SUM((ROW(Liste02[Platz])&lt;=ROW())*(Liste02[Platz]=Liste02[[#This Row],[Platz]])*NOT(Liste02[IstGestrichen]))*NOT(Liste02[[#This Row],[IstGestrichen]])</f>
        <v>1</v>
      </c>
      <c r="W7">
        <f t="array" ref="W7">MIN(SUMIFS(Liste02[Wahl],Liste02[Platz],Liste02[[#This Row],[Platz]]),3)</f>
        <v>0</v>
      </c>
      <c r="X7">
        <f>(Liste02[[#This Row],[Mult]]&gt;Liste02[[#This Row],[GülzST2]])*1*NOT(Liste02[[#This Row],[IstGestrichen]])</f>
        <v>1</v>
      </c>
      <c r="Y7">
        <f>SUMIFS(Liste02[ListPot],Liste02[Platz],Liste02[[#This Row],[Platz]],Liste02[Mult],"&lt;="&amp;Liste02[[#This Row],[Mult]])+SUMIFS(Liste02[ListPot],Liste02[Platz],"&lt;"&amp;Liste02[[#This Row],[Platz]])*Liste02[[#This Row],[ListPot]]</f>
        <v>3</v>
      </c>
      <c r="Z7">
        <f>IF(AND(NOT(ISBLANK(R$3)),Liste02[[#This Row],[ListPotKum]]&lt;=Reststimmen),Liste02[[#This Row],[ListPot]],0)</f>
        <v>0</v>
      </c>
      <c r="AA7" s="4">
        <f>MIN(SUMIFS(Liste02[Wahl],Liste02[Platz],Liste02[[#This Row],[Platz]]),3)*(Liste02[[#This Row],[Mult]]=1)*StimmenzahlOk</f>
        <v>0</v>
      </c>
      <c r="AB7" s="4">
        <f>SUMIFS(Liste02[ListVerg],Liste02[Platz],Liste02[[#This Row],[Platz]])*(Liste02[[#This Row],[Mult]]=1)*ListenkreuzeOk</f>
        <v>0</v>
      </c>
      <c r="AC7" s="4">
        <f>Liste02[[#This Row],[Liste]]+Liste02[[#This Row],[Einzel]]</f>
        <v>0</v>
      </c>
      <c r="AE7" s="8"/>
      <c r="AF7" s="3">
        <v>303</v>
      </c>
      <c r="AG7" s="28" t="s">
        <v>375</v>
      </c>
      <c r="AH7" t="b">
        <f>AND((Liste03[[#This Row],[Wahl]]=0),LEN(Liste03[[#This Row],[Wahl]])=1)</f>
        <v>0</v>
      </c>
      <c r="AI7">
        <f t="array" ref="AI7">SUM((ROW(Liste03[Platz])&lt;=ROW())*(Liste03[Platz]=Liste03[[#This Row],[Platz]])*NOT(Liste03[IstGestrichen]))*NOT(Liste03[[#This Row],[IstGestrichen]])</f>
        <v>1</v>
      </c>
      <c r="AJ7">
        <f t="array" ref="AJ7">MIN(SUMIFS(Liste03[Wahl],Liste03[Platz],Liste03[[#This Row],[Platz]]),3)</f>
        <v>0</v>
      </c>
      <c r="AK7">
        <f>(Liste03[[#This Row],[Mult]]&gt;Liste03[[#This Row],[GülzST2]])*1*NOT(Liste03[[#This Row],[IstGestrichen]])</f>
        <v>1</v>
      </c>
      <c r="AL7">
        <f>SUMIFS(Liste03[ListPot],Liste03[Platz],Liste03[[#This Row],[Platz]],Liste03[Mult],"&lt;="&amp;Liste03[[#This Row],[Mult]])+SUMIFS(Liste03[ListPot],Liste03[Platz],"&lt;"&amp;Liste03[[#This Row],[Platz]])*Liste03[[#This Row],[ListPot]]</f>
        <v>3</v>
      </c>
      <c r="AM7">
        <f>IF(AND(NOT(ISBLANK(AE$3)),Liste03[[#This Row],[ListPotKum]]&lt;=Reststimmen),Liste03[[#This Row],[ListPot]],0)</f>
        <v>0</v>
      </c>
      <c r="AN7" s="4">
        <f>MIN(SUMIFS(Liste03[Wahl],Liste03[Platz],Liste03[[#This Row],[Platz]]),3)*(Liste03[[#This Row],[Mult]]=1)*StimmenzahlOk</f>
        <v>0</v>
      </c>
      <c r="AO7" s="4">
        <f>SUMIFS(Liste03[ListVerg],Liste03[Platz],Liste03[[#This Row],[Platz]])*(Liste03[[#This Row],[Mult]]=1)*ListenkreuzeOk</f>
        <v>0</v>
      </c>
      <c r="AP7" s="4">
        <f>Liste03[[#This Row],[Liste]]+Liste03[[#This Row],[Einzel]]</f>
        <v>0</v>
      </c>
      <c r="AR7" s="8"/>
      <c r="AS7" s="3"/>
      <c r="AT7" s="28"/>
      <c r="AU7" s="9" t="b">
        <f>AND((Liste04[[#This Row],[Wahl]]=0),LEN(Liste04[[#This Row],[Wahl]])=1)</f>
        <v>0</v>
      </c>
      <c r="AV7" s="9">
        <f t="array" ref="AV7">SUM((ROW(Liste04[Platz])&lt;=ROW())*(Liste04[Platz]=Liste04[[#This Row],[Platz]])*NOT(Liste04[IstGestrichen]))*NOT(Liste04[[#This Row],[IstGestrichen]])</f>
        <v>3</v>
      </c>
      <c r="AW7" s="9">
        <f t="array" ref="AW7">MIN(SUMIFS(Liste04[Wahl],Liste04[Platz],Liste04[[#This Row],[Platz]]),3)</f>
        <v>0</v>
      </c>
      <c r="AX7" s="9">
        <f>(Liste04[[#This Row],[Mult]]&gt;Liste04[[#This Row],[GülzST2]])*1*NOT(Liste04[[#This Row],[IstGestrichen]])</f>
        <v>1</v>
      </c>
      <c r="AY7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7" s="9">
        <f>IF(AND(NOT(ISBLANK(AR$3)),Liste04[[#This Row],[ListPotKum]]&lt;=Reststimmen),Liste04[[#This Row],[ListPot]],0)</f>
        <v>0</v>
      </c>
      <c r="BA7" s="4">
        <f>MIN(SUMIFS(Liste04[Wahl],Liste04[Platz],Liste04[[#This Row],[Platz]]),3)*(Liste04[[#This Row],[Mult]]=1)*StimmenzahlOk</f>
        <v>0</v>
      </c>
      <c r="BB7" s="4">
        <f>SUMIFS(Liste04[ListVerg],Liste04[Platz],Liste04[[#This Row],[Platz]])*(Liste04[[#This Row],[Mult]]=1)*ListenkreuzeOk</f>
        <v>0</v>
      </c>
      <c r="BC7" s="4">
        <f>Liste04[[#This Row],[Liste]]+Liste04[[#This Row],[Einzel]]</f>
        <v>0</v>
      </c>
      <c r="BE7" s="8"/>
      <c r="BF7" s="3">
        <v>503</v>
      </c>
      <c r="BG7" s="28" t="s">
        <v>426</v>
      </c>
      <c r="BH7" t="b">
        <f>AND((Liste05[[#This Row],[Wahl]]=0),LEN(Liste05[[#This Row],[Wahl]])=1)</f>
        <v>0</v>
      </c>
      <c r="BI7">
        <f t="array" ref="BI7">SUM((ROW(Liste05[Platz])&lt;=ROW())*(Liste05[Platz]=Liste05[[#This Row],[Platz]])*NOT(Liste05[IstGestrichen]))*NOT(Liste05[[#This Row],[IstGestrichen]])</f>
        <v>1</v>
      </c>
      <c r="BJ7">
        <f t="array" ref="BJ7">MIN(SUMIFS(Liste05[Wahl],Liste05[Platz],Liste05[[#This Row],[Platz]]),3)</f>
        <v>0</v>
      </c>
      <c r="BK7">
        <f>(Liste05[[#This Row],[Mult]]&gt;Liste05[[#This Row],[GülzST2]])*1*NOT(Liste05[[#This Row],[IstGestrichen]])</f>
        <v>1</v>
      </c>
      <c r="BL7">
        <f>SUMIFS(Liste05[ListPot],Liste05[Platz],Liste05[[#This Row],[Platz]],Liste05[Mult],"&lt;="&amp;Liste05[[#This Row],[Mult]])+SUMIFS(Liste05[ListPot],Liste05[Platz],"&lt;"&amp;Liste05[[#This Row],[Platz]])*Liste05[[#This Row],[ListPot]]</f>
        <v>3</v>
      </c>
      <c r="BM7">
        <f>IF(AND(NOT(ISBLANK(BE$3)),Liste05[[#This Row],[ListPotKum]]&lt;=Reststimmen),Liste05[[#This Row],[ListPot]],0)</f>
        <v>0</v>
      </c>
      <c r="BN7" s="4">
        <f>MIN(SUMIFS(Liste05[Wahl],Liste05[Platz],Liste05[[#This Row],[Platz]]),3)*(Liste05[[#This Row],[Mult]]=1)*StimmenzahlOk</f>
        <v>0</v>
      </c>
      <c r="BO7" s="4">
        <f>SUMIFS(Liste05[ListVerg],Liste05[Platz],Liste05[[#This Row],[Platz]])*(Liste05[[#This Row],[Mult]]=1)*ListenkreuzeOk</f>
        <v>0</v>
      </c>
      <c r="BP7" s="4">
        <f>Liste05[[#This Row],[Liste]]+Liste05[[#This Row],[Einzel]]</f>
        <v>0</v>
      </c>
      <c r="BR7" s="8"/>
      <c r="BS7" s="3"/>
      <c r="BT7" s="28"/>
      <c r="BU7" s="9" t="b">
        <f>AND((Liste06[[#This Row],[Spalte1]]=0),LEN(Liste06[[#This Row],[Spalte1]])=1)</f>
        <v>0</v>
      </c>
      <c r="BV7" s="9">
        <f t="array" ref="BV7">SUM((ROW(Liste06[Spalte2])&lt;=ROW())*(Liste06[Spalte2]=Liste06[[#This Row],[Spalte2]])*NOT(Liste06[IstGestrichen]))*NOT(Liste06[[#This Row],[IstGestrichen]])</f>
        <v>3</v>
      </c>
      <c r="BW7" s="9">
        <f t="array" ref="BW7">MIN(SUMIFS(Liste06[Spalte1],Liste06[Spalte2],Liste06[[#This Row],[Spalte2]]),3)</f>
        <v>0</v>
      </c>
      <c r="BX7" s="9">
        <f>(Liste06[[#This Row],[Mult]]&gt;Liste06[[#This Row],[GülzST2]])*1*NOT(Liste06[[#This Row],[IstGestrichen]])</f>
        <v>1</v>
      </c>
      <c r="BY7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7" s="14">
        <f>IF(AND(NOT(ISBLANK(BR$3)),Liste06[[#This Row],[ListPotKum]]&lt;=Reststimmen),Liste06[[#This Row],[ListPot]],0)</f>
        <v>0</v>
      </c>
      <c r="CA7" s="4">
        <f>MIN(SUMIFS(Liste06[Spalte1],Liste06[Spalte2],Liste06[[#This Row],[Spalte2]]),3)*(Liste06[[#This Row],[Mult]]=1)*StimmenzahlOk</f>
        <v>0</v>
      </c>
      <c r="CB7" s="15">
        <f>SUMIFS(Liste06[ListVerg],Liste06[Spalte2],Liste06[[#This Row],[Spalte2]])*(Liste06[[#This Row],[Mult]]=1)*ListenkreuzeOk</f>
        <v>0</v>
      </c>
      <c r="CC7" s="4">
        <f>Liste06[[#This Row],[Liste]]+Liste06[[#This Row],[Einzel]]</f>
        <v>0</v>
      </c>
      <c r="CE7" s="8"/>
      <c r="CF7" s="3">
        <v>703</v>
      </c>
      <c r="CG7" s="28" t="s">
        <v>477</v>
      </c>
      <c r="CH7" s="9" t="b">
        <f>AND((Liste07[[#This Row],[Wahl]]=0),LEN(Liste07[[#This Row],[Wahl]])=1)</f>
        <v>0</v>
      </c>
      <c r="CI7" s="9">
        <f t="array" ref="CI7">SUM((ROW(Liste07[Platz])&lt;=ROW())*(Liste07[Platz]=Liste07[[#This Row],[Platz]])*NOT(Liste07[IstGestrichen]))*NOT(Liste07[[#This Row],[IstGestrichen]])</f>
        <v>1</v>
      </c>
      <c r="CJ7" s="9">
        <f t="array" ref="CJ7">MIN(SUMIFS(Liste07[Wahl],Liste07[Platz],Liste07[[#This Row],[Platz]]),3)</f>
        <v>0</v>
      </c>
      <c r="CK7" s="9">
        <f>(Liste07[[#This Row],[Mult]]&gt;Liste07[[#This Row],[GülzST2]])*1*NOT(Liste07[[#This Row],[IstGestrichen]])</f>
        <v>1</v>
      </c>
      <c r="CL7" s="9">
        <f>SUMIFS(Liste07[ListPot],Liste07[Platz],Liste07[[#This Row],[Platz]],Liste07[Mult],"&lt;="&amp;Liste07[[#This Row],[Mult]])+SUMIFS(Liste07[ListPot],Liste07[Platz],"&lt;"&amp;Liste07[[#This Row],[Platz]])*Liste07[[#This Row],[ListPot]]</f>
        <v>3</v>
      </c>
      <c r="CM7" s="14">
        <f>IF(AND(NOT(ISBLANK(CE$3)),Liste07[[#This Row],[ListPotKum]]&lt;=Reststimmen),Liste07[[#This Row],[ListPot]],0)</f>
        <v>0</v>
      </c>
      <c r="CN7" s="4">
        <f>MIN(SUMIFS(Liste07[Wahl],Liste07[Platz],Liste07[[#This Row],[Platz]]),3)*(Liste07[[#This Row],[Mult]]=1)*StimmenzahlOk</f>
        <v>0</v>
      </c>
      <c r="CO7" s="15">
        <f>SUMIFS(Liste07[ListVerg],Liste07[Platz],Liste07[[#This Row],[Platz]])*(Liste07[[#This Row],[Mult]]=1)*ListenkreuzeOk</f>
        <v>0</v>
      </c>
      <c r="CP7" s="4">
        <f>Liste07[[#This Row],[Liste]]+Liste07[[#This Row],[Einzel]]</f>
        <v>0</v>
      </c>
      <c r="CR7" s="8"/>
      <c r="CS7" s="3">
        <v>803</v>
      </c>
      <c r="CT7" s="28" t="s">
        <v>528</v>
      </c>
      <c r="CU7" s="9" t="b">
        <f>AND((Liste08[[#This Row],[Wahl]]=0),LEN(Liste08[[#This Row],[Wahl]])=1)</f>
        <v>0</v>
      </c>
      <c r="CV7" s="9">
        <f t="array" ref="CV7">SUM((ROW(Liste08[Platz])&lt;=ROW())*(Liste08[Platz]=Liste08[[#This Row],[Platz]])*NOT(Liste08[IstGestrichen]))*NOT(Liste08[[#This Row],[IstGestrichen]])</f>
        <v>1</v>
      </c>
      <c r="CW7" s="9">
        <f t="array" ref="CW7">MIN(SUMIFS(Liste08[Wahl],Liste08[Platz],Liste08[[#This Row],[Platz]]),3)</f>
        <v>0</v>
      </c>
      <c r="CX7" s="9">
        <f>(Liste08[[#This Row],[Mult]]&gt;Liste08[[#This Row],[GülzST2]])*1*NOT(Liste08[[#This Row],[IstGestrichen]])</f>
        <v>1</v>
      </c>
      <c r="CY7" s="9">
        <f>SUMIFS(Liste08[ListPot],Liste08[Platz],Liste08[[#This Row],[Platz]],Liste08[Mult],"&lt;="&amp;Liste08[[#This Row],[Mult]])+SUMIFS(Liste08[ListPot],Liste08[Platz],"&lt;"&amp;Liste08[[#This Row],[Platz]])*Liste08[[#This Row],[ListPot]]</f>
        <v>3</v>
      </c>
      <c r="CZ7" s="14">
        <f>IF(AND(NOT(ISBLANK(CR$3)),Liste08[[#This Row],[ListPotKum]]&lt;=Reststimmen),Liste08[[#This Row],[ListPot]],0)</f>
        <v>0</v>
      </c>
      <c r="DA7" s="4">
        <f>MIN(SUMIFS(Liste08[Wahl],Liste08[Platz],Liste08[[#This Row],[Platz]]),3)*(Liste08[[#This Row],[Mult]]=1)*StimmenzahlOk</f>
        <v>0</v>
      </c>
      <c r="DB7" s="15">
        <f>SUMIFS(Liste08[ListVerg],Liste08[Platz],Liste08[[#This Row],[Platz]])*(Liste08[[#This Row],[Mult]]=1)*ListenkreuzeOk</f>
        <v>0</v>
      </c>
      <c r="DC7" s="4">
        <f>Liste08[[#This Row],[Liste]]+Liste08[[#This Row],[Einzel]]</f>
        <v>0</v>
      </c>
      <c r="DE7" s="8"/>
      <c r="DF7" s="3"/>
      <c r="DG7" s="28"/>
      <c r="DH7" s="9" t="b">
        <f>AND((Liste09[[#This Row],[Wahl]]=0),LEN(Liste09[[#This Row],[Wahl]])=1)</f>
        <v>0</v>
      </c>
      <c r="DI7" s="9">
        <f t="array" ref="DI7">SUM((ROW(Liste09[Platz])&lt;=ROW())*(Liste09[Platz]=Liste09[[#This Row],[Platz]])*NOT(Liste09[IstGestrichen]))*NOT(Liste09[[#This Row],[IstGestrichen]])</f>
        <v>3</v>
      </c>
      <c r="DJ7" s="9">
        <f t="array" ref="DJ7">MIN(SUMIFS(Liste09[Wahl],Liste09[Platz],Liste09[[#This Row],[Platz]]),3)</f>
        <v>0</v>
      </c>
      <c r="DK7" s="9">
        <f>(Liste09[[#This Row],[Mult]]&gt;Liste09[[#This Row],[GülzST2]])*1*NOT(Liste09[[#This Row],[IstGestrichen]])</f>
        <v>1</v>
      </c>
      <c r="DL7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7" s="14">
        <f>IF(AND(NOT(ISBLANK(DE$3)),Liste09[[#This Row],[ListPotKum]]&lt;=Reststimmen),Liste09[[#This Row],[ListPot]],0)</f>
        <v>0</v>
      </c>
      <c r="DN7" s="4">
        <f>MIN(SUMIFS(Liste09[Wahl],Liste09[Platz],Liste09[[#This Row],[Platz]]),3)*(Liste09[[#This Row],[Mult]]=1)*StimmenzahlOk</f>
        <v>0</v>
      </c>
      <c r="DO7" s="15">
        <f>SUMIFS(Liste09[ListVerg],Liste09[Platz],Liste09[[#This Row],[Platz]])*(Liste09[[#This Row],[Mult]]=1)*ListenkreuzeOk</f>
        <v>0</v>
      </c>
      <c r="DP7" s="4">
        <f>Liste09[[#This Row],[Liste]]+Liste09[[#This Row],[Einzel]]</f>
        <v>0</v>
      </c>
    </row>
    <row r="8" spans="1:131" ht="15.75" x14ac:dyDescent="0.25">
      <c r="A8" s="13" t="s">
        <v>14</v>
      </c>
      <c r="B8" s="21">
        <f>Liste01[[#Totals],[Einzel]]+Liste02[[#Totals],[Einzel]]+Liste03[[#Totals],[Einzel]]+Liste04[[#Totals],[Einzel]]+Liste05[[#Totals],[Einzel]]+Liste06[[#Totals],[Einzel]]+Liste07[[#Totals],[Einzel]]+Liste08[[#Totals],[Einzel]]+Liste09[[#Totals],[Einzel]]</f>
        <v>0</v>
      </c>
      <c r="E8" s="8"/>
      <c r="F8" s="3">
        <v>104</v>
      </c>
      <c r="G8" s="2" t="s">
        <v>276</v>
      </c>
      <c r="H8" t="b">
        <f>AND((Liste01[[#This Row],[Wahl]]=0),LEN(Liste01[[#This Row],[Wahl]])=1)</f>
        <v>0</v>
      </c>
      <c r="I8">
        <f t="array" ref="I8">SUM((ROW(Liste01[Platz])&lt;=ROW())*(Liste01[Platz]=Liste01[[#This Row],[Platz]])*NOT(Liste01[IstGestrichen]))*NOT(Liste01[[#This Row],[IstGestrichen]])</f>
        <v>1</v>
      </c>
      <c r="J8">
        <f t="array" ref="J8">MIN(SUMIFS(Liste01[Wahl],Liste01[Platz],Liste01[[#This Row],[Platz]]),3)</f>
        <v>0</v>
      </c>
      <c r="K8">
        <f>(Liste01[[#This Row],[Mult]]&gt;Liste01[[#This Row],[GülzST2]])*1*NOT(Liste01[[#This Row],[IstGestrichen]])</f>
        <v>1</v>
      </c>
      <c r="L8">
        <f>SUMIFS(Liste01[ListPot],Liste01[Platz],Liste01[[#This Row],[Platz]],Liste01[Mult],"&lt;="&amp;Liste01[[#This Row],[Mult]])+SUMIFS(Liste01[ListPot],Liste01[Platz],"&lt;"&amp;Liste01[[#This Row],[Platz]])*Liste01[[#This Row],[ListPot]]</f>
        <v>4</v>
      </c>
      <c r="M8">
        <f>IF(AND(NOT(ISBLANK(E$3)),Liste01[[#This Row],[ListPotKum]]&lt;=Reststimmen),Liste01[[#This Row],[ListPot]],0)</f>
        <v>0</v>
      </c>
      <c r="N8" s="4">
        <f>MIN(SUMIFS(Liste01[Wahl],Liste01[Platz],Liste01[[#This Row],[Platz]]),3)*(Liste01[[#This Row],[Mult]]=1)*StimmenzahlOk</f>
        <v>0</v>
      </c>
      <c r="O8" s="4">
        <f>SUMIFS(Liste01[ListVerg],Liste01[Platz],Liste01[[#This Row],[Platz]])*(Liste01[[#This Row],[Mult]]=1)*ListenkreuzeOk</f>
        <v>0</v>
      </c>
      <c r="P8" s="4">
        <f>Liste01[[#This Row],[Liste]]+Liste01[[#This Row],[Einzel]]</f>
        <v>0</v>
      </c>
      <c r="R8" s="8"/>
      <c r="S8" s="3">
        <v>204</v>
      </c>
      <c r="T8" s="28" t="s">
        <v>326</v>
      </c>
      <c r="U8" t="b">
        <f>AND((Liste02[[#This Row],[Wahl]]=0),LEN(Liste02[[#This Row],[Wahl]])=1)</f>
        <v>0</v>
      </c>
      <c r="V8">
        <f t="array" ref="V8">SUM((ROW(Liste02[Platz])&lt;=ROW())*(Liste02[Platz]=Liste02[[#This Row],[Platz]])*NOT(Liste02[IstGestrichen]))*NOT(Liste02[[#This Row],[IstGestrichen]])</f>
        <v>1</v>
      </c>
      <c r="W8">
        <f t="array" ref="W8">MIN(SUMIFS(Liste02[Wahl],Liste02[Platz],Liste02[[#This Row],[Platz]]),3)</f>
        <v>0</v>
      </c>
      <c r="X8">
        <f>(Liste02[[#This Row],[Mult]]&gt;Liste02[[#This Row],[GülzST2]])*1*NOT(Liste02[[#This Row],[IstGestrichen]])</f>
        <v>1</v>
      </c>
      <c r="Y8">
        <f>SUMIFS(Liste02[ListPot],Liste02[Platz],Liste02[[#This Row],[Platz]],Liste02[Mult],"&lt;="&amp;Liste02[[#This Row],[Mult]])+SUMIFS(Liste02[ListPot],Liste02[Platz],"&lt;"&amp;Liste02[[#This Row],[Platz]])*Liste02[[#This Row],[ListPot]]</f>
        <v>4</v>
      </c>
      <c r="Z8">
        <f>IF(AND(NOT(ISBLANK(R$3)),Liste02[[#This Row],[ListPotKum]]&lt;=Reststimmen),Liste02[[#This Row],[ListPot]],0)</f>
        <v>0</v>
      </c>
      <c r="AA8" s="4">
        <f>MIN(SUMIFS(Liste02[Wahl],Liste02[Platz],Liste02[[#This Row],[Platz]]),3)*(Liste02[[#This Row],[Mult]]=1)*StimmenzahlOk</f>
        <v>0</v>
      </c>
      <c r="AB8" s="4">
        <f>SUMIFS(Liste02[ListVerg],Liste02[Platz],Liste02[[#This Row],[Platz]])*(Liste02[[#This Row],[Mult]]=1)*ListenkreuzeOk</f>
        <v>0</v>
      </c>
      <c r="AC8" s="4">
        <f>Liste02[[#This Row],[Liste]]+Liste02[[#This Row],[Einzel]]</f>
        <v>0</v>
      </c>
      <c r="AE8" s="8"/>
      <c r="AF8" s="3">
        <v>304</v>
      </c>
      <c r="AG8" s="28" t="s">
        <v>376</v>
      </c>
      <c r="AH8" t="b">
        <f>AND((Liste03[[#This Row],[Wahl]]=0),LEN(Liste03[[#This Row],[Wahl]])=1)</f>
        <v>0</v>
      </c>
      <c r="AI8">
        <f t="array" ref="AI8">SUM((ROW(Liste03[Platz])&lt;=ROW())*(Liste03[Platz]=Liste03[[#This Row],[Platz]])*NOT(Liste03[IstGestrichen]))*NOT(Liste03[[#This Row],[IstGestrichen]])</f>
        <v>1</v>
      </c>
      <c r="AJ8">
        <f t="array" ref="AJ8">MIN(SUMIFS(Liste03[Wahl],Liste03[Platz],Liste03[[#This Row],[Platz]]),3)</f>
        <v>0</v>
      </c>
      <c r="AK8">
        <f>(Liste03[[#This Row],[Mult]]&gt;Liste03[[#This Row],[GülzST2]])*1*NOT(Liste03[[#This Row],[IstGestrichen]])</f>
        <v>1</v>
      </c>
      <c r="AL8">
        <f>SUMIFS(Liste03[ListPot],Liste03[Platz],Liste03[[#This Row],[Platz]],Liste03[Mult],"&lt;="&amp;Liste03[[#This Row],[Mult]])+SUMIFS(Liste03[ListPot],Liste03[Platz],"&lt;"&amp;Liste03[[#This Row],[Platz]])*Liste03[[#This Row],[ListPot]]</f>
        <v>4</v>
      </c>
      <c r="AM8">
        <f>IF(AND(NOT(ISBLANK(AE$3)),Liste03[[#This Row],[ListPotKum]]&lt;=Reststimmen),Liste03[[#This Row],[ListPot]],0)</f>
        <v>0</v>
      </c>
      <c r="AN8" s="4">
        <f>MIN(SUMIFS(Liste03[Wahl],Liste03[Platz],Liste03[[#This Row],[Platz]]),3)*(Liste03[[#This Row],[Mult]]=1)*StimmenzahlOk</f>
        <v>0</v>
      </c>
      <c r="AO8" s="4">
        <f>SUMIFS(Liste03[ListVerg],Liste03[Platz],Liste03[[#This Row],[Platz]])*(Liste03[[#This Row],[Mult]]=1)*ListenkreuzeOk</f>
        <v>0</v>
      </c>
      <c r="AP8" s="4">
        <f>Liste03[[#This Row],[Liste]]+Liste03[[#This Row],[Einzel]]</f>
        <v>0</v>
      </c>
      <c r="AR8" s="8"/>
      <c r="AS8" s="3"/>
      <c r="AT8" s="28"/>
      <c r="AU8" t="b">
        <f>AND((Liste04[[#This Row],[Wahl]]=0),LEN(Liste04[[#This Row],[Wahl]])=1)</f>
        <v>0</v>
      </c>
      <c r="AV8">
        <f t="array" ref="AV8">SUM((ROW(Liste04[Platz])&lt;=ROW())*(Liste04[Platz]=Liste04[[#This Row],[Platz]])*NOT(Liste04[IstGestrichen]))*NOT(Liste04[[#This Row],[IstGestrichen]])</f>
        <v>4</v>
      </c>
      <c r="AW8">
        <f t="array" ref="AW8">MIN(SUMIFS(Liste04[Wahl],Liste04[Platz],Liste04[[#This Row],[Platz]]),3)</f>
        <v>0</v>
      </c>
      <c r="AX8">
        <f>(Liste04[[#This Row],[Mult]]&gt;Liste04[[#This Row],[GülzST2]])*1*NOT(Liste04[[#This Row],[IstGestrichen]])</f>
        <v>1</v>
      </c>
      <c r="AY8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8">
        <f>IF(AND(NOT(ISBLANK(AR$3)),Liste04[[#This Row],[ListPotKum]]&lt;=Reststimmen),Liste04[[#This Row],[ListPot]],0)</f>
        <v>0</v>
      </c>
      <c r="BA8" s="4">
        <f>MIN(SUMIFS(Liste04[Wahl],Liste04[Platz],Liste04[[#This Row],[Platz]]),3)*(Liste04[[#This Row],[Mult]]=1)*StimmenzahlOk</f>
        <v>0</v>
      </c>
      <c r="BB8" s="4">
        <f>SUMIFS(Liste04[ListVerg],Liste04[Platz],Liste04[[#This Row],[Platz]])*(Liste04[[#This Row],[Mult]]=1)*ListenkreuzeOk</f>
        <v>0</v>
      </c>
      <c r="BC8" s="4">
        <f>Liste04[[#This Row],[Liste]]+Liste04[[#This Row],[Einzel]]</f>
        <v>0</v>
      </c>
      <c r="BE8" s="8"/>
      <c r="BF8" s="3">
        <v>504</v>
      </c>
      <c r="BG8" s="28" t="s">
        <v>427</v>
      </c>
      <c r="BH8" t="b">
        <f>AND((Liste05[[#This Row],[Wahl]]=0),LEN(Liste05[[#This Row],[Wahl]])=1)</f>
        <v>0</v>
      </c>
      <c r="BI8">
        <f t="array" ref="BI8">SUM((ROW(Liste05[Platz])&lt;=ROW())*(Liste05[Platz]=Liste05[[#This Row],[Platz]])*NOT(Liste05[IstGestrichen]))*NOT(Liste05[[#This Row],[IstGestrichen]])</f>
        <v>1</v>
      </c>
      <c r="BJ8">
        <f t="array" ref="BJ8">MIN(SUMIFS(Liste05[Wahl],Liste05[Platz],Liste05[[#This Row],[Platz]]),3)</f>
        <v>0</v>
      </c>
      <c r="BK8">
        <f>(Liste05[[#This Row],[Mult]]&gt;Liste05[[#This Row],[GülzST2]])*1*NOT(Liste05[[#This Row],[IstGestrichen]])</f>
        <v>1</v>
      </c>
      <c r="BL8">
        <f>SUMIFS(Liste05[ListPot],Liste05[Platz],Liste05[[#This Row],[Platz]],Liste05[Mult],"&lt;="&amp;Liste05[[#This Row],[Mult]])+SUMIFS(Liste05[ListPot],Liste05[Platz],"&lt;"&amp;Liste05[[#This Row],[Platz]])*Liste05[[#This Row],[ListPot]]</f>
        <v>4</v>
      </c>
      <c r="BM8">
        <f>IF(AND(NOT(ISBLANK(BE$3)),Liste05[[#This Row],[ListPotKum]]&lt;=Reststimmen),Liste05[[#This Row],[ListPot]],0)</f>
        <v>0</v>
      </c>
      <c r="BN8" s="4">
        <f>MIN(SUMIFS(Liste05[Wahl],Liste05[Platz],Liste05[[#This Row],[Platz]]),3)*(Liste05[[#This Row],[Mult]]=1)*StimmenzahlOk</f>
        <v>0</v>
      </c>
      <c r="BO8" s="4">
        <f>SUMIFS(Liste05[ListVerg],Liste05[Platz],Liste05[[#This Row],[Platz]])*(Liste05[[#This Row],[Mult]]=1)*ListenkreuzeOk</f>
        <v>0</v>
      </c>
      <c r="BP8" s="4">
        <f>Liste05[[#This Row],[Liste]]+Liste05[[#This Row],[Einzel]]</f>
        <v>0</v>
      </c>
      <c r="BR8" s="8"/>
      <c r="BS8" s="3"/>
      <c r="BT8" s="28"/>
      <c r="BU8" t="b">
        <f>AND((Liste06[[#This Row],[Spalte1]]=0),LEN(Liste06[[#This Row],[Spalte1]])=1)</f>
        <v>0</v>
      </c>
      <c r="BV8">
        <f t="array" ref="BV8">SUM((ROW(Liste06[Spalte2])&lt;=ROW())*(Liste06[Spalte2]=Liste06[[#This Row],[Spalte2]])*NOT(Liste06[IstGestrichen]))*NOT(Liste06[[#This Row],[IstGestrichen]])</f>
        <v>4</v>
      </c>
      <c r="BW8">
        <f t="array" ref="BW8">MIN(SUMIFS(Liste06[Spalte1],Liste06[Spalte2],Liste06[[#This Row],[Spalte2]]),3)</f>
        <v>0</v>
      </c>
      <c r="BX8">
        <f>(Liste06[[#This Row],[Mult]]&gt;Liste06[[#This Row],[GülzST2]])*1*NOT(Liste06[[#This Row],[IstGestrichen]])</f>
        <v>1</v>
      </c>
      <c r="BY8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8">
        <f>IF(AND(NOT(ISBLANK(BR$3)),Liste06[[#This Row],[ListPotKum]]&lt;=Reststimmen),Liste06[[#This Row],[ListPot]],0)</f>
        <v>0</v>
      </c>
      <c r="CA8" s="4">
        <f>MIN(SUMIFS(Liste06[Spalte1],Liste06[Spalte2],Liste06[[#This Row],[Spalte2]]),3)*(Liste06[[#This Row],[Mult]]=1)*StimmenzahlOk</f>
        <v>0</v>
      </c>
      <c r="CB8" s="4">
        <f>SUMIFS(Liste06[ListVerg],Liste06[Spalte2],Liste06[[#This Row],[Spalte2]])*(Liste06[[#This Row],[Mult]]=1)*ListenkreuzeOk</f>
        <v>0</v>
      </c>
      <c r="CC8" s="4">
        <f>Liste06[[#This Row],[Liste]]+Liste06[[#This Row],[Einzel]]</f>
        <v>0</v>
      </c>
      <c r="CE8" s="8"/>
      <c r="CF8" s="3">
        <v>704</v>
      </c>
      <c r="CG8" s="28" t="s">
        <v>479</v>
      </c>
      <c r="CH8" t="b">
        <f>AND((Liste07[[#This Row],[Wahl]]=0),LEN(Liste07[[#This Row],[Wahl]])=1)</f>
        <v>0</v>
      </c>
      <c r="CI8">
        <f t="array" ref="CI8">SUM((ROW(Liste07[Platz])&lt;=ROW())*(Liste07[Platz]=Liste07[[#This Row],[Platz]])*NOT(Liste07[IstGestrichen]))*NOT(Liste07[[#This Row],[IstGestrichen]])</f>
        <v>1</v>
      </c>
      <c r="CJ8">
        <f t="array" ref="CJ8">MIN(SUMIFS(Liste07[Wahl],Liste07[Platz],Liste07[[#This Row],[Platz]]),3)</f>
        <v>0</v>
      </c>
      <c r="CK8">
        <f>(Liste07[[#This Row],[Mult]]&gt;Liste07[[#This Row],[GülzST2]])*1*NOT(Liste07[[#This Row],[IstGestrichen]])</f>
        <v>1</v>
      </c>
      <c r="CL8">
        <f>SUMIFS(Liste07[ListPot],Liste07[Platz],Liste07[[#This Row],[Platz]],Liste07[Mult],"&lt;="&amp;Liste07[[#This Row],[Mult]])+SUMIFS(Liste07[ListPot],Liste07[Platz],"&lt;"&amp;Liste07[[#This Row],[Platz]])*Liste07[[#This Row],[ListPot]]</f>
        <v>4</v>
      </c>
      <c r="CM8">
        <f>IF(AND(NOT(ISBLANK(CE$3)),Liste07[[#This Row],[ListPotKum]]&lt;=Reststimmen),Liste07[[#This Row],[ListPot]],0)</f>
        <v>0</v>
      </c>
      <c r="CN8" s="4">
        <f>MIN(SUMIFS(Liste07[Wahl],Liste07[Platz],Liste07[[#This Row],[Platz]]),3)*(Liste07[[#This Row],[Mult]]=1)*StimmenzahlOk</f>
        <v>0</v>
      </c>
      <c r="CO8" s="4">
        <f>SUMIFS(Liste07[ListVerg],Liste07[Platz],Liste07[[#This Row],[Platz]])*(Liste07[[#This Row],[Mult]]=1)*ListenkreuzeOk</f>
        <v>0</v>
      </c>
      <c r="CP8" s="4">
        <f>Liste07[[#This Row],[Liste]]+Liste07[[#This Row],[Einzel]]</f>
        <v>0</v>
      </c>
      <c r="CR8" s="8"/>
      <c r="CS8" s="3">
        <v>804</v>
      </c>
      <c r="CT8" s="28" t="s">
        <v>529</v>
      </c>
      <c r="CU8" t="b">
        <f>AND((Liste08[[#This Row],[Wahl]]=0),LEN(Liste08[[#This Row],[Wahl]])=1)</f>
        <v>0</v>
      </c>
      <c r="CV8">
        <f t="array" ref="CV8">SUM((ROW(Liste08[Platz])&lt;=ROW())*(Liste08[Platz]=Liste08[[#This Row],[Platz]])*NOT(Liste08[IstGestrichen]))*NOT(Liste08[[#This Row],[IstGestrichen]])</f>
        <v>1</v>
      </c>
      <c r="CW8">
        <f t="array" ref="CW8">MIN(SUMIFS(Liste08[Wahl],Liste08[Platz],Liste08[[#This Row],[Platz]]),3)</f>
        <v>0</v>
      </c>
      <c r="CX8">
        <f>(Liste08[[#This Row],[Mult]]&gt;Liste08[[#This Row],[GülzST2]])*1*NOT(Liste08[[#This Row],[IstGestrichen]])</f>
        <v>1</v>
      </c>
      <c r="CY8">
        <f>SUMIFS(Liste08[ListPot],Liste08[Platz],Liste08[[#This Row],[Platz]],Liste08[Mult],"&lt;="&amp;Liste08[[#This Row],[Mult]])+SUMIFS(Liste08[ListPot],Liste08[Platz],"&lt;"&amp;Liste08[[#This Row],[Platz]])*Liste08[[#This Row],[ListPot]]</f>
        <v>4</v>
      </c>
      <c r="CZ8">
        <f>IF(AND(NOT(ISBLANK(CR$3)),Liste08[[#This Row],[ListPotKum]]&lt;=Reststimmen),Liste08[[#This Row],[ListPot]],0)</f>
        <v>0</v>
      </c>
      <c r="DA8" s="4">
        <f>MIN(SUMIFS(Liste08[Wahl],Liste08[Platz],Liste08[[#This Row],[Platz]]),3)*(Liste08[[#This Row],[Mult]]=1)*StimmenzahlOk</f>
        <v>0</v>
      </c>
      <c r="DB8" s="4">
        <f>SUMIFS(Liste08[ListVerg],Liste08[Platz],Liste08[[#This Row],[Platz]])*(Liste08[[#This Row],[Mult]]=1)*ListenkreuzeOk</f>
        <v>0</v>
      </c>
      <c r="DC8" s="4">
        <f>Liste08[[#This Row],[Liste]]+Liste08[[#This Row],[Einzel]]</f>
        <v>0</v>
      </c>
      <c r="DE8" s="8"/>
      <c r="DF8" s="3"/>
      <c r="DG8" s="28"/>
      <c r="DH8" t="b">
        <f>AND((Liste09[[#This Row],[Wahl]]=0),LEN(Liste09[[#This Row],[Wahl]])=1)</f>
        <v>0</v>
      </c>
      <c r="DI8">
        <f t="array" ref="DI8">SUM((ROW(Liste09[Platz])&lt;=ROW())*(Liste09[Platz]=Liste09[[#This Row],[Platz]])*NOT(Liste09[IstGestrichen]))*NOT(Liste09[[#This Row],[IstGestrichen]])</f>
        <v>4</v>
      </c>
      <c r="DJ8">
        <f t="array" ref="DJ8">MIN(SUMIFS(Liste09[Wahl],Liste09[Platz],Liste09[[#This Row],[Platz]]),3)</f>
        <v>0</v>
      </c>
      <c r="DK8">
        <f>(Liste09[[#This Row],[Mult]]&gt;Liste09[[#This Row],[GülzST2]])*1*NOT(Liste09[[#This Row],[IstGestrichen]])</f>
        <v>1</v>
      </c>
      <c r="DL8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8">
        <f>IF(AND(NOT(ISBLANK(DE$3)),Liste09[[#This Row],[ListPotKum]]&lt;=Reststimmen),Liste09[[#This Row],[ListPot]],0)</f>
        <v>0</v>
      </c>
      <c r="DN8" s="4">
        <f>MIN(SUMIFS(Liste09[Wahl],Liste09[Platz],Liste09[[#This Row],[Platz]]),3)*(Liste09[[#This Row],[Mult]]=1)*StimmenzahlOk</f>
        <v>0</v>
      </c>
      <c r="DO8" s="4">
        <f>SUMIFS(Liste09[ListVerg],Liste09[Platz],Liste09[[#This Row],[Platz]])*(Liste09[[#This Row],[Mult]]=1)*ListenkreuzeOk</f>
        <v>0</v>
      </c>
      <c r="DP8" s="4">
        <f>Liste09[[#This Row],[Liste]]+Liste09[[#This Row],[Einzel]]</f>
        <v>0</v>
      </c>
    </row>
    <row r="9" spans="1:131" ht="15.75" x14ac:dyDescent="0.25">
      <c r="A9" s="13" t="s">
        <v>15</v>
      </c>
      <c r="B9" s="21">
        <f>(VergebeneEinzelstimmen-GueltigeEinzelstimmen)*StimmenzahlOk</f>
        <v>0</v>
      </c>
      <c r="E9" s="8"/>
      <c r="F9" s="3">
        <v>105</v>
      </c>
      <c r="G9" s="2" t="s">
        <v>277</v>
      </c>
      <c r="H9" t="b">
        <f>AND((Liste01[[#This Row],[Wahl]]=0),LEN(Liste01[[#This Row],[Wahl]])=1)</f>
        <v>0</v>
      </c>
      <c r="I9">
        <f t="array" ref="I9">SUM((ROW(Liste01[Platz])&lt;=ROW())*(Liste01[Platz]=Liste01[[#This Row],[Platz]])*NOT(Liste01[IstGestrichen]))*NOT(Liste01[[#This Row],[IstGestrichen]])</f>
        <v>1</v>
      </c>
      <c r="J9">
        <f t="array" ref="J9">MIN(SUMIFS(Liste01[Wahl],Liste01[Platz],Liste01[[#This Row],[Platz]]),3)</f>
        <v>0</v>
      </c>
      <c r="K9">
        <f>(Liste01[[#This Row],[Mult]]&gt;Liste01[[#This Row],[GülzST2]])*1*NOT(Liste01[[#This Row],[IstGestrichen]])</f>
        <v>1</v>
      </c>
      <c r="L9">
        <f>SUMIFS(Liste01[ListPot],Liste01[Platz],Liste01[[#This Row],[Platz]],Liste01[Mult],"&lt;="&amp;Liste01[[#This Row],[Mult]])+SUMIFS(Liste01[ListPot],Liste01[Platz],"&lt;"&amp;Liste01[[#This Row],[Platz]])*Liste01[[#This Row],[ListPot]]</f>
        <v>5</v>
      </c>
      <c r="M9">
        <f>IF(AND(NOT(ISBLANK(E$3)),Liste01[[#This Row],[ListPotKum]]&lt;=Reststimmen),Liste01[[#This Row],[ListPot]],0)</f>
        <v>0</v>
      </c>
      <c r="N9" s="4">
        <f>MIN(SUMIFS(Liste01[Wahl],Liste01[Platz],Liste01[[#This Row],[Platz]]),3)*(Liste01[[#This Row],[Mult]]=1)*StimmenzahlOk</f>
        <v>0</v>
      </c>
      <c r="O9" s="4">
        <f>SUMIFS(Liste01[ListVerg],Liste01[Platz],Liste01[[#This Row],[Platz]])*(Liste01[[#This Row],[Mult]]=1)*ListenkreuzeOk</f>
        <v>0</v>
      </c>
      <c r="P9" s="4">
        <f>Liste01[[#This Row],[Liste]]+Liste01[[#This Row],[Einzel]]</f>
        <v>0</v>
      </c>
      <c r="R9" s="8"/>
      <c r="S9" s="3">
        <v>205</v>
      </c>
      <c r="T9" s="28" t="s">
        <v>327</v>
      </c>
      <c r="U9" t="b">
        <f>AND((Liste02[[#This Row],[Wahl]]=0),LEN(Liste02[[#This Row],[Wahl]])=1)</f>
        <v>0</v>
      </c>
      <c r="V9">
        <f t="array" ref="V9">SUM((ROW(Liste02[Platz])&lt;=ROW())*(Liste02[Platz]=Liste02[[#This Row],[Platz]])*NOT(Liste02[IstGestrichen]))*NOT(Liste02[[#This Row],[IstGestrichen]])</f>
        <v>1</v>
      </c>
      <c r="W9">
        <f t="array" ref="W9">MIN(SUMIFS(Liste02[Wahl],Liste02[Platz],Liste02[[#This Row],[Platz]]),3)</f>
        <v>0</v>
      </c>
      <c r="X9">
        <f>(Liste02[[#This Row],[Mult]]&gt;Liste02[[#This Row],[GülzST2]])*1*NOT(Liste02[[#This Row],[IstGestrichen]])</f>
        <v>1</v>
      </c>
      <c r="Y9">
        <f>SUMIFS(Liste02[ListPot],Liste02[Platz],Liste02[[#This Row],[Platz]],Liste02[Mult],"&lt;="&amp;Liste02[[#This Row],[Mult]])+SUMIFS(Liste02[ListPot],Liste02[Platz],"&lt;"&amp;Liste02[[#This Row],[Platz]])*Liste02[[#This Row],[ListPot]]</f>
        <v>5</v>
      </c>
      <c r="Z9">
        <f>IF(AND(NOT(ISBLANK(R$3)),Liste02[[#This Row],[ListPotKum]]&lt;=Reststimmen),Liste02[[#This Row],[ListPot]],0)</f>
        <v>0</v>
      </c>
      <c r="AA9" s="4">
        <f>MIN(SUMIFS(Liste02[Wahl],Liste02[Platz],Liste02[[#This Row],[Platz]]),3)*(Liste02[[#This Row],[Mult]]=1)*StimmenzahlOk</f>
        <v>0</v>
      </c>
      <c r="AB9" s="4">
        <f>SUMIFS(Liste02[ListVerg],Liste02[Platz],Liste02[[#This Row],[Platz]])*(Liste02[[#This Row],[Mult]]=1)*ListenkreuzeOk</f>
        <v>0</v>
      </c>
      <c r="AC9" s="4">
        <f>Liste02[[#This Row],[Liste]]+Liste02[[#This Row],[Einzel]]</f>
        <v>0</v>
      </c>
      <c r="AE9" s="8"/>
      <c r="AF9" s="3">
        <v>305</v>
      </c>
      <c r="AG9" s="28" t="s">
        <v>377</v>
      </c>
      <c r="AH9" t="b">
        <f>AND((Liste03[[#This Row],[Wahl]]=0),LEN(Liste03[[#This Row],[Wahl]])=1)</f>
        <v>0</v>
      </c>
      <c r="AI9">
        <f t="array" ref="AI9">SUM((ROW(Liste03[Platz])&lt;=ROW())*(Liste03[Platz]=Liste03[[#This Row],[Platz]])*NOT(Liste03[IstGestrichen]))*NOT(Liste03[[#This Row],[IstGestrichen]])</f>
        <v>1</v>
      </c>
      <c r="AJ9">
        <f t="array" ref="AJ9">MIN(SUMIFS(Liste03[Wahl],Liste03[Platz],Liste03[[#This Row],[Platz]]),3)</f>
        <v>0</v>
      </c>
      <c r="AK9">
        <f>(Liste03[[#This Row],[Mult]]&gt;Liste03[[#This Row],[GülzST2]])*1*NOT(Liste03[[#This Row],[IstGestrichen]])</f>
        <v>1</v>
      </c>
      <c r="AL9">
        <f>SUMIFS(Liste03[ListPot],Liste03[Platz],Liste03[[#This Row],[Platz]],Liste03[Mult],"&lt;="&amp;Liste03[[#This Row],[Mult]])+SUMIFS(Liste03[ListPot],Liste03[Platz],"&lt;"&amp;Liste03[[#This Row],[Platz]])*Liste03[[#This Row],[ListPot]]</f>
        <v>5</v>
      </c>
      <c r="AM9">
        <f>IF(AND(NOT(ISBLANK(AE$3)),Liste03[[#This Row],[ListPotKum]]&lt;=Reststimmen),Liste03[[#This Row],[ListPot]],0)</f>
        <v>0</v>
      </c>
      <c r="AN9" s="4">
        <f>MIN(SUMIFS(Liste03[Wahl],Liste03[Platz],Liste03[[#This Row],[Platz]]),3)*(Liste03[[#This Row],[Mult]]=1)*StimmenzahlOk</f>
        <v>0</v>
      </c>
      <c r="AO9" s="4">
        <f>SUMIFS(Liste03[ListVerg],Liste03[Platz],Liste03[[#This Row],[Platz]])*(Liste03[[#This Row],[Mult]]=1)*ListenkreuzeOk</f>
        <v>0</v>
      </c>
      <c r="AP9" s="4">
        <f>Liste03[[#This Row],[Liste]]+Liste03[[#This Row],[Einzel]]</f>
        <v>0</v>
      </c>
      <c r="AR9" s="8"/>
      <c r="AS9" s="3"/>
      <c r="AT9" s="28"/>
      <c r="AU9" t="b">
        <f>AND((Liste04[[#This Row],[Wahl]]=0),LEN(Liste04[[#This Row],[Wahl]])=1)</f>
        <v>0</v>
      </c>
      <c r="AV9">
        <f t="array" ref="AV9">SUM((ROW(Liste04[Platz])&lt;=ROW())*(Liste04[Platz]=Liste04[[#This Row],[Platz]])*NOT(Liste04[IstGestrichen]))*NOT(Liste04[[#This Row],[IstGestrichen]])</f>
        <v>5</v>
      </c>
      <c r="AW9">
        <f t="array" ref="AW9">MIN(SUMIFS(Liste04[Wahl],Liste04[Platz],Liste04[[#This Row],[Platz]]),3)</f>
        <v>0</v>
      </c>
      <c r="AX9">
        <f>(Liste04[[#This Row],[Mult]]&gt;Liste04[[#This Row],[GülzST2]])*1*NOT(Liste04[[#This Row],[IstGestrichen]])</f>
        <v>1</v>
      </c>
      <c r="AY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9">
        <f>IF(AND(NOT(ISBLANK(AR$3)),Liste04[[#This Row],[ListPotKum]]&lt;=Reststimmen),Liste04[[#This Row],[ListPot]],0)</f>
        <v>0</v>
      </c>
      <c r="BA9" s="4">
        <f>MIN(SUMIFS(Liste04[Wahl],Liste04[Platz],Liste04[[#This Row],[Platz]]),3)*(Liste04[[#This Row],[Mult]]=1)*StimmenzahlOk</f>
        <v>0</v>
      </c>
      <c r="BB9" s="4">
        <f>SUMIFS(Liste04[ListVerg],Liste04[Platz],Liste04[[#This Row],[Platz]])*(Liste04[[#This Row],[Mult]]=1)*ListenkreuzeOk</f>
        <v>0</v>
      </c>
      <c r="BC9" s="4">
        <f>Liste04[[#This Row],[Liste]]+Liste04[[#This Row],[Einzel]]</f>
        <v>0</v>
      </c>
      <c r="BE9" s="8"/>
      <c r="BF9" s="3">
        <v>505</v>
      </c>
      <c r="BG9" s="28" t="s">
        <v>429</v>
      </c>
      <c r="BH9" t="b">
        <f>AND((Liste05[[#This Row],[Wahl]]=0),LEN(Liste05[[#This Row],[Wahl]])=1)</f>
        <v>0</v>
      </c>
      <c r="BI9">
        <f t="array" ref="BI9">SUM((ROW(Liste05[Platz])&lt;=ROW())*(Liste05[Platz]=Liste05[[#This Row],[Platz]])*NOT(Liste05[IstGestrichen]))*NOT(Liste05[[#This Row],[IstGestrichen]])</f>
        <v>1</v>
      </c>
      <c r="BJ9">
        <f t="array" ref="BJ9">MIN(SUMIFS(Liste05[Wahl],Liste05[Platz],Liste05[[#This Row],[Platz]]),3)</f>
        <v>0</v>
      </c>
      <c r="BK9">
        <f>(Liste05[[#This Row],[Mult]]&gt;Liste05[[#This Row],[GülzST2]])*1*NOT(Liste05[[#This Row],[IstGestrichen]])</f>
        <v>1</v>
      </c>
      <c r="BL9">
        <f>SUMIFS(Liste05[ListPot],Liste05[Platz],Liste05[[#This Row],[Platz]],Liste05[Mult],"&lt;="&amp;Liste05[[#This Row],[Mult]])+SUMIFS(Liste05[ListPot],Liste05[Platz],"&lt;"&amp;Liste05[[#This Row],[Platz]])*Liste05[[#This Row],[ListPot]]</f>
        <v>5</v>
      </c>
      <c r="BM9">
        <f>IF(AND(NOT(ISBLANK(BE$3)),Liste05[[#This Row],[ListPotKum]]&lt;=Reststimmen),Liste05[[#This Row],[ListPot]],0)</f>
        <v>0</v>
      </c>
      <c r="BN9" s="4">
        <f>MIN(SUMIFS(Liste05[Wahl],Liste05[Platz],Liste05[[#This Row],[Platz]]),3)*(Liste05[[#This Row],[Mult]]=1)*StimmenzahlOk</f>
        <v>0</v>
      </c>
      <c r="BO9" s="4">
        <f>SUMIFS(Liste05[ListVerg],Liste05[Platz],Liste05[[#This Row],[Platz]])*(Liste05[[#This Row],[Mult]]=1)*ListenkreuzeOk</f>
        <v>0</v>
      </c>
      <c r="BP9" s="4">
        <f>Liste05[[#This Row],[Liste]]+Liste05[[#This Row],[Einzel]]</f>
        <v>0</v>
      </c>
      <c r="BR9" s="8"/>
      <c r="BS9" s="3"/>
      <c r="BT9" s="34"/>
      <c r="BU9" t="b">
        <f>AND((Liste06[[#This Row],[Spalte1]]=0),LEN(Liste06[[#This Row],[Spalte1]])=1)</f>
        <v>0</v>
      </c>
      <c r="BV9">
        <f t="array" ref="BV9">SUM((ROW(Liste06[Spalte2])&lt;=ROW())*(Liste06[Spalte2]=Liste06[[#This Row],[Spalte2]])*NOT(Liste06[IstGestrichen]))*NOT(Liste06[[#This Row],[IstGestrichen]])</f>
        <v>5</v>
      </c>
      <c r="BW9">
        <f t="array" ref="BW9">MIN(SUMIFS(Liste06[Spalte1],Liste06[Spalte2],Liste06[[#This Row],[Spalte2]]),3)</f>
        <v>0</v>
      </c>
      <c r="BX9">
        <f>(Liste06[[#This Row],[Mult]]&gt;Liste06[[#This Row],[GülzST2]])*1*NOT(Liste06[[#This Row],[IstGestrichen]])</f>
        <v>1</v>
      </c>
      <c r="BY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9">
        <f>IF(AND(NOT(ISBLANK(BR$3)),Liste06[[#This Row],[ListPotKum]]&lt;=Reststimmen),Liste06[[#This Row],[ListPot]],0)</f>
        <v>0</v>
      </c>
      <c r="CA9" s="4">
        <f>MIN(SUMIFS(Liste06[Spalte1],Liste06[Spalte2],Liste06[[#This Row],[Spalte2]]),3)*(Liste06[[#This Row],[Mult]]=1)*StimmenzahlOk</f>
        <v>0</v>
      </c>
      <c r="CB9" s="4">
        <f>SUMIFS(Liste06[ListVerg],Liste06[Spalte2],Liste06[[#This Row],[Spalte2]])*(Liste06[[#This Row],[Mult]]=1)*ListenkreuzeOk</f>
        <v>0</v>
      </c>
      <c r="CC9" s="4">
        <f>Liste06[[#This Row],[Liste]]+Liste06[[#This Row],[Einzel]]</f>
        <v>0</v>
      </c>
      <c r="CE9" s="8"/>
      <c r="CF9" s="3">
        <v>705</v>
      </c>
      <c r="CG9" s="28" t="s">
        <v>478</v>
      </c>
      <c r="CH9" t="b">
        <f>AND((Liste07[[#This Row],[Wahl]]=0),LEN(Liste07[[#This Row],[Wahl]])=1)</f>
        <v>0</v>
      </c>
      <c r="CI9">
        <f t="array" ref="CI9">SUM((ROW(Liste07[Platz])&lt;=ROW())*(Liste07[Platz]=Liste07[[#This Row],[Platz]])*NOT(Liste07[IstGestrichen]))*NOT(Liste07[[#This Row],[IstGestrichen]])</f>
        <v>1</v>
      </c>
      <c r="CJ9">
        <f t="array" ref="CJ9">MIN(SUMIFS(Liste07[Wahl],Liste07[Platz],Liste07[[#This Row],[Platz]]),3)</f>
        <v>0</v>
      </c>
      <c r="CK9">
        <f>(Liste07[[#This Row],[Mult]]&gt;Liste07[[#This Row],[GülzST2]])*1*NOT(Liste07[[#This Row],[IstGestrichen]])</f>
        <v>1</v>
      </c>
      <c r="CL9">
        <f>SUMIFS(Liste07[ListPot],Liste07[Platz],Liste07[[#This Row],[Platz]],Liste07[Mult],"&lt;="&amp;Liste07[[#This Row],[Mult]])+SUMIFS(Liste07[ListPot],Liste07[Platz],"&lt;"&amp;Liste07[[#This Row],[Platz]])*Liste07[[#This Row],[ListPot]]</f>
        <v>5</v>
      </c>
      <c r="CM9">
        <f>IF(AND(NOT(ISBLANK(CE$3)),Liste07[[#This Row],[ListPotKum]]&lt;=Reststimmen),Liste07[[#This Row],[ListPot]],0)</f>
        <v>0</v>
      </c>
      <c r="CN9" s="4">
        <f>MIN(SUMIFS(Liste07[Wahl],Liste07[Platz],Liste07[[#This Row],[Platz]]),3)*(Liste07[[#This Row],[Mult]]=1)*StimmenzahlOk</f>
        <v>0</v>
      </c>
      <c r="CO9" s="4">
        <f>SUMIFS(Liste07[ListVerg],Liste07[Platz],Liste07[[#This Row],[Platz]])*(Liste07[[#This Row],[Mult]]=1)*ListenkreuzeOk</f>
        <v>0</v>
      </c>
      <c r="CP9" s="4">
        <f>Liste07[[#This Row],[Liste]]+Liste07[[#This Row],[Einzel]]</f>
        <v>0</v>
      </c>
      <c r="CR9" s="8"/>
      <c r="CS9" s="3">
        <v>805</v>
      </c>
      <c r="CT9" s="28" t="s">
        <v>530</v>
      </c>
      <c r="CU9" t="b">
        <f>AND((Liste08[[#This Row],[Wahl]]=0),LEN(Liste08[[#This Row],[Wahl]])=1)</f>
        <v>0</v>
      </c>
      <c r="CV9">
        <f t="array" ref="CV9">SUM((ROW(Liste08[Platz])&lt;=ROW())*(Liste08[Platz]=Liste08[[#This Row],[Platz]])*NOT(Liste08[IstGestrichen]))*NOT(Liste08[[#This Row],[IstGestrichen]])</f>
        <v>1</v>
      </c>
      <c r="CW9">
        <f t="array" ref="CW9">MIN(SUMIFS(Liste08[Wahl],Liste08[Platz],Liste08[[#This Row],[Platz]]),3)</f>
        <v>0</v>
      </c>
      <c r="CX9">
        <f>(Liste08[[#This Row],[Mult]]&gt;Liste08[[#This Row],[GülzST2]])*1*NOT(Liste08[[#This Row],[IstGestrichen]])</f>
        <v>1</v>
      </c>
      <c r="CY9">
        <f>SUMIFS(Liste08[ListPot],Liste08[Platz],Liste08[[#This Row],[Platz]],Liste08[Mult],"&lt;="&amp;Liste08[[#This Row],[Mult]])+SUMIFS(Liste08[ListPot],Liste08[Platz],"&lt;"&amp;Liste08[[#This Row],[Platz]])*Liste08[[#This Row],[ListPot]]</f>
        <v>5</v>
      </c>
      <c r="CZ9">
        <f>IF(AND(NOT(ISBLANK(CR$3)),Liste08[[#This Row],[ListPotKum]]&lt;=Reststimmen),Liste08[[#This Row],[ListPot]],0)</f>
        <v>0</v>
      </c>
      <c r="DA9" s="4">
        <f>MIN(SUMIFS(Liste08[Wahl],Liste08[Platz],Liste08[[#This Row],[Platz]]),3)*(Liste08[[#This Row],[Mult]]=1)*StimmenzahlOk</f>
        <v>0</v>
      </c>
      <c r="DB9" s="4">
        <f>SUMIFS(Liste08[ListVerg],Liste08[Platz],Liste08[[#This Row],[Platz]])*(Liste08[[#This Row],[Mult]]=1)*ListenkreuzeOk</f>
        <v>0</v>
      </c>
      <c r="DC9" s="4">
        <f>Liste08[[#This Row],[Liste]]+Liste08[[#This Row],[Einzel]]</f>
        <v>0</v>
      </c>
      <c r="DE9" s="8"/>
      <c r="DF9" s="3"/>
      <c r="DG9" s="28"/>
      <c r="DH9" t="b">
        <f>AND((Liste09[[#This Row],[Wahl]]=0),LEN(Liste09[[#This Row],[Wahl]])=1)</f>
        <v>0</v>
      </c>
      <c r="DI9">
        <f t="array" ref="DI9">SUM((ROW(Liste09[Platz])&lt;=ROW())*(Liste09[Platz]=Liste09[[#This Row],[Platz]])*NOT(Liste09[IstGestrichen]))*NOT(Liste09[[#This Row],[IstGestrichen]])</f>
        <v>5</v>
      </c>
      <c r="DJ9">
        <f t="array" ref="DJ9">MIN(SUMIFS(Liste09[Wahl],Liste09[Platz],Liste09[[#This Row],[Platz]]),3)</f>
        <v>0</v>
      </c>
      <c r="DK9">
        <f>(Liste09[[#This Row],[Mult]]&gt;Liste09[[#This Row],[GülzST2]])*1*NOT(Liste09[[#This Row],[IstGestrichen]])</f>
        <v>1</v>
      </c>
      <c r="DL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9">
        <f>IF(AND(NOT(ISBLANK(DE$3)),Liste09[[#This Row],[ListPotKum]]&lt;=Reststimmen),Liste09[[#This Row],[ListPot]],0)</f>
        <v>0</v>
      </c>
      <c r="DN9" s="4">
        <f>MIN(SUMIFS(Liste09[Wahl],Liste09[Platz],Liste09[[#This Row],[Platz]]),3)*(Liste09[[#This Row],[Mult]]=1)*StimmenzahlOk</f>
        <v>0</v>
      </c>
      <c r="DO9" s="4">
        <f>SUMIFS(Liste09[ListVerg],Liste09[Platz],Liste09[[#This Row],[Platz]])*(Liste09[[#This Row],[Mult]]=1)*ListenkreuzeOk</f>
        <v>0</v>
      </c>
      <c r="DP9" s="4">
        <f>Liste09[[#This Row],[Liste]]+Liste09[[#This Row],[Einzel]]</f>
        <v>0</v>
      </c>
    </row>
    <row r="10" spans="1:131" ht="15.75" x14ac:dyDescent="0.25">
      <c r="A10" s="13" t="s">
        <v>16</v>
      </c>
      <c r="B10" s="21">
        <f>(MaxStimmen-VergebeneEinzelstimmen)*StimmenzahlOk</f>
        <v>50</v>
      </c>
      <c r="E10" s="8"/>
      <c r="F10" s="3">
        <v>106</v>
      </c>
      <c r="G10" s="2" t="s">
        <v>278</v>
      </c>
      <c r="H10" t="b">
        <f>AND((Liste01[[#This Row],[Wahl]]=0),LEN(Liste01[[#This Row],[Wahl]])=1)</f>
        <v>0</v>
      </c>
      <c r="I10">
        <f t="array" ref="I10">SUM((ROW(Liste01[Platz])&lt;=ROW())*(Liste01[Platz]=Liste01[[#This Row],[Platz]])*NOT(Liste01[IstGestrichen]))*NOT(Liste01[[#This Row],[IstGestrichen]])</f>
        <v>1</v>
      </c>
      <c r="J10">
        <f t="array" ref="J10">MIN(SUMIFS(Liste01[Wahl],Liste01[Platz],Liste01[[#This Row],[Platz]]),3)</f>
        <v>0</v>
      </c>
      <c r="K10">
        <f>(Liste01[[#This Row],[Mult]]&gt;Liste01[[#This Row],[GülzST2]])*1*NOT(Liste01[[#This Row],[IstGestrichen]])</f>
        <v>1</v>
      </c>
      <c r="L10">
        <f>SUMIFS(Liste01[ListPot],Liste01[Platz],Liste01[[#This Row],[Platz]],Liste01[Mult],"&lt;="&amp;Liste01[[#This Row],[Mult]])+SUMIFS(Liste01[ListPot],Liste01[Platz],"&lt;"&amp;Liste01[[#This Row],[Platz]])*Liste01[[#This Row],[ListPot]]</f>
        <v>6</v>
      </c>
      <c r="M10">
        <f>IF(AND(NOT(ISBLANK(E$3)),Liste01[[#This Row],[ListPotKum]]&lt;=Reststimmen),Liste01[[#This Row],[ListPot]],0)</f>
        <v>0</v>
      </c>
      <c r="N10" s="4">
        <f>MIN(SUMIFS(Liste01[Wahl],Liste01[Platz],Liste01[[#This Row],[Platz]]),3)*(Liste01[[#This Row],[Mult]]=1)*StimmenzahlOk</f>
        <v>0</v>
      </c>
      <c r="O10" s="4">
        <f>SUMIFS(Liste01[ListVerg],Liste01[Platz],Liste01[[#This Row],[Platz]])*(Liste01[[#This Row],[Mult]]=1)*ListenkreuzeOk</f>
        <v>0</v>
      </c>
      <c r="P10" s="4">
        <f>Liste01[[#This Row],[Liste]]+Liste01[[#This Row],[Einzel]]</f>
        <v>0</v>
      </c>
      <c r="R10" s="8"/>
      <c r="S10" s="3">
        <v>206</v>
      </c>
      <c r="T10" s="28" t="s">
        <v>328</v>
      </c>
      <c r="U10" t="b">
        <f>AND((Liste02[[#This Row],[Wahl]]=0),LEN(Liste02[[#This Row],[Wahl]])=1)</f>
        <v>0</v>
      </c>
      <c r="V10">
        <f t="array" ref="V10">SUM((ROW(Liste02[Platz])&lt;=ROW())*(Liste02[Platz]=Liste02[[#This Row],[Platz]])*NOT(Liste02[IstGestrichen]))*NOT(Liste02[[#This Row],[IstGestrichen]])</f>
        <v>1</v>
      </c>
      <c r="W10">
        <f t="array" ref="W10">MIN(SUMIFS(Liste02[Wahl],Liste02[Platz],Liste02[[#This Row],[Platz]]),3)</f>
        <v>0</v>
      </c>
      <c r="X10">
        <f>(Liste02[[#This Row],[Mult]]&gt;Liste02[[#This Row],[GülzST2]])*1*NOT(Liste02[[#This Row],[IstGestrichen]])</f>
        <v>1</v>
      </c>
      <c r="Y10">
        <f>SUMIFS(Liste02[ListPot],Liste02[Platz],Liste02[[#This Row],[Platz]],Liste02[Mult],"&lt;="&amp;Liste02[[#This Row],[Mult]])+SUMIFS(Liste02[ListPot],Liste02[Platz],"&lt;"&amp;Liste02[[#This Row],[Platz]])*Liste02[[#This Row],[ListPot]]</f>
        <v>6</v>
      </c>
      <c r="Z10">
        <f>IF(AND(NOT(ISBLANK(R$3)),Liste02[[#This Row],[ListPotKum]]&lt;=Reststimmen),Liste02[[#This Row],[ListPot]],0)</f>
        <v>0</v>
      </c>
      <c r="AA10" s="4">
        <f>MIN(SUMIFS(Liste02[Wahl],Liste02[Platz],Liste02[[#This Row],[Platz]]),3)*(Liste02[[#This Row],[Mult]]=1)*StimmenzahlOk</f>
        <v>0</v>
      </c>
      <c r="AB10" s="4">
        <f>SUMIFS(Liste02[ListVerg],Liste02[Platz],Liste02[[#This Row],[Platz]])*(Liste02[[#This Row],[Mult]]=1)*ListenkreuzeOk</f>
        <v>0</v>
      </c>
      <c r="AC10" s="4">
        <f>Liste02[[#This Row],[Liste]]+Liste02[[#This Row],[Einzel]]</f>
        <v>0</v>
      </c>
      <c r="AE10" s="8"/>
      <c r="AF10" s="3">
        <v>306</v>
      </c>
      <c r="AG10" s="28" t="s">
        <v>378</v>
      </c>
      <c r="AH10" t="b">
        <f>AND((Liste03[[#This Row],[Wahl]]=0),LEN(Liste03[[#This Row],[Wahl]])=1)</f>
        <v>0</v>
      </c>
      <c r="AI10">
        <f t="array" ref="AI10">SUM((ROW(Liste03[Platz])&lt;=ROW())*(Liste03[Platz]=Liste03[[#This Row],[Platz]])*NOT(Liste03[IstGestrichen]))*NOT(Liste03[[#This Row],[IstGestrichen]])</f>
        <v>1</v>
      </c>
      <c r="AJ10">
        <f t="array" ref="AJ10">MIN(SUMIFS(Liste03[Wahl],Liste03[Platz],Liste03[[#This Row],[Platz]]),3)</f>
        <v>0</v>
      </c>
      <c r="AK10">
        <f>(Liste03[[#This Row],[Mult]]&gt;Liste03[[#This Row],[GülzST2]])*1*NOT(Liste03[[#This Row],[IstGestrichen]])</f>
        <v>1</v>
      </c>
      <c r="AL10">
        <f>SUMIFS(Liste03[ListPot],Liste03[Platz],Liste03[[#This Row],[Platz]],Liste03[Mult],"&lt;="&amp;Liste03[[#This Row],[Mult]])+SUMIFS(Liste03[ListPot],Liste03[Platz],"&lt;"&amp;Liste03[[#This Row],[Platz]])*Liste03[[#This Row],[ListPot]]</f>
        <v>6</v>
      </c>
      <c r="AM10">
        <f>IF(AND(NOT(ISBLANK(AE$3)),Liste03[[#This Row],[ListPotKum]]&lt;=Reststimmen),Liste03[[#This Row],[ListPot]],0)</f>
        <v>0</v>
      </c>
      <c r="AN10" s="4">
        <f>MIN(SUMIFS(Liste03[Wahl],Liste03[Platz],Liste03[[#This Row],[Platz]]),3)*(Liste03[[#This Row],[Mult]]=1)*StimmenzahlOk</f>
        <v>0</v>
      </c>
      <c r="AO10" s="4">
        <f>SUMIFS(Liste03[ListVerg],Liste03[Platz],Liste03[[#This Row],[Platz]])*(Liste03[[#This Row],[Mult]]=1)*ListenkreuzeOk</f>
        <v>0</v>
      </c>
      <c r="AP10" s="4">
        <f>Liste03[[#This Row],[Liste]]+Liste03[[#This Row],[Einzel]]</f>
        <v>0</v>
      </c>
      <c r="AR10" s="8"/>
      <c r="AS10" s="3"/>
      <c r="AT10" s="28"/>
      <c r="AU10" s="9" t="b">
        <f>AND((Liste04[[#This Row],[Wahl]]=0),LEN(Liste04[[#This Row],[Wahl]])=1)</f>
        <v>0</v>
      </c>
      <c r="AV10" s="9">
        <f t="array" ref="AV10">SUM((ROW(Liste04[Platz])&lt;=ROW())*(Liste04[Platz]=Liste04[[#This Row],[Platz]])*NOT(Liste04[IstGestrichen]))*NOT(Liste04[[#This Row],[IstGestrichen]])</f>
        <v>6</v>
      </c>
      <c r="AW10" s="9">
        <f t="array" ref="AW10">MIN(SUMIFS(Liste04[Wahl],Liste04[Platz],Liste04[[#This Row],[Platz]]),3)</f>
        <v>0</v>
      </c>
      <c r="AX10" s="9">
        <f>(Liste04[[#This Row],[Mult]]&gt;Liste04[[#This Row],[GülzST2]])*1*NOT(Liste04[[#This Row],[IstGestrichen]])</f>
        <v>1</v>
      </c>
      <c r="AY10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0" s="9">
        <f>IF(AND(NOT(ISBLANK(AR$3)),Liste04[[#This Row],[ListPotKum]]&lt;=Reststimmen),Liste04[[#This Row],[ListPot]],0)</f>
        <v>0</v>
      </c>
      <c r="BA10" s="4">
        <f>MIN(SUMIFS(Liste04[Wahl],Liste04[Platz],Liste04[[#This Row],[Platz]]),3)*(Liste04[[#This Row],[Mult]]=1)*StimmenzahlOk</f>
        <v>0</v>
      </c>
      <c r="BB10" s="4">
        <f>SUMIFS(Liste04[ListVerg],Liste04[Platz],Liste04[[#This Row],[Platz]])*(Liste04[[#This Row],[Mult]]=1)*ListenkreuzeOk</f>
        <v>0</v>
      </c>
      <c r="BC10" s="4">
        <f>Liste04[[#This Row],[Liste]]+Liste04[[#This Row],[Einzel]]</f>
        <v>0</v>
      </c>
      <c r="BE10" s="8"/>
      <c r="BF10" s="3">
        <v>506</v>
      </c>
      <c r="BG10" s="28" t="s">
        <v>430</v>
      </c>
      <c r="BH10" t="b">
        <f>AND((Liste05[[#This Row],[Wahl]]=0),LEN(Liste05[[#This Row],[Wahl]])=1)</f>
        <v>0</v>
      </c>
      <c r="BI10">
        <f t="array" ref="BI10">SUM((ROW(Liste05[Platz])&lt;=ROW())*(Liste05[Platz]=Liste05[[#This Row],[Platz]])*NOT(Liste05[IstGestrichen]))*NOT(Liste05[[#This Row],[IstGestrichen]])</f>
        <v>1</v>
      </c>
      <c r="BJ10">
        <f t="array" ref="BJ10">MIN(SUMIFS(Liste05[Wahl],Liste05[Platz],Liste05[[#This Row],[Platz]]),3)</f>
        <v>0</v>
      </c>
      <c r="BK10">
        <f>(Liste05[[#This Row],[Mult]]&gt;Liste05[[#This Row],[GülzST2]])*1*NOT(Liste05[[#This Row],[IstGestrichen]])</f>
        <v>1</v>
      </c>
      <c r="BL10">
        <f>SUMIFS(Liste05[ListPot],Liste05[Platz],Liste05[[#This Row],[Platz]],Liste05[Mult],"&lt;="&amp;Liste05[[#This Row],[Mult]])+SUMIFS(Liste05[ListPot],Liste05[Platz],"&lt;"&amp;Liste05[[#This Row],[Platz]])*Liste05[[#This Row],[ListPot]]</f>
        <v>6</v>
      </c>
      <c r="BM10">
        <f>IF(AND(NOT(ISBLANK(BE$3)),Liste05[[#This Row],[ListPotKum]]&lt;=Reststimmen),Liste05[[#This Row],[ListPot]],0)</f>
        <v>0</v>
      </c>
      <c r="BN10" s="4">
        <f>MIN(SUMIFS(Liste05[Wahl],Liste05[Platz],Liste05[[#This Row],[Platz]]),3)*(Liste05[[#This Row],[Mult]]=1)*StimmenzahlOk</f>
        <v>0</v>
      </c>
      <c r="BO10" s="4">
        <f>SUMIFS(Liste05[ListVerg],Liste05[Platz],Liste05[[#This Row],[Platz]])*(Liste05[[#This Row],[Mult]]=1)*ListenkreuzeOk</f>
        <v>0</v>
      </c>
      <c r="BP10" s="4">
        <f>Liste05[[#This Row],[Liste]]+Liste05[[#This Row],[Einzel]]</f>
        <v>0</v>
      </c>
      <c r="BR10" s="8"/>
      <c r="BS10" s="3"/>
      <c r="BT10" s="28"/>
      <c r="BU10" s="9" t="b">
        <f>AND((Liste06[[#This Row],[Spalte1]]=0),LEN(Liste06[[#This Row],[Spalte1]])=1)</f>
        <v>0</v>
      </c>
      <c r="BV10" s="9">
        <f t="array" ref="BV10">SUM((ROW(Liste06[Spalte2])&lt;=ROW())*(Liste06[Spalte2]=Liste06[[#This Row],[Spalte2]])*NOT(Liste06[IstGestrichen]))*NOT(Liste06[[#This Row],[IstGestrichen]])</f>
        <v>6</v>
      </c>
      <c r="BW10" s="9">
        <f t="array" ref="BW10">MIN(SUMIFS(Liste06[Spalte1],Liste06[Spalte2],Liste06[[#This Row],[Spalte2]]),3)</f>
        <v>0</v>
      </c>
      <c r="BX10" s="9">
        <f>(Liste06[[#This Row],[Mult]]&gt;Liste06[[#This Row],[GülzST2]])*1*NOT(Liste06[[#This Row],[IstGestrichen]])</f>
        <v>1</v>
      </c>
      <c r="BY10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0" s="14">
        <f>IF(AND(NOT(ISBLANK(BR$3)),Liste06[[#This Row],[ListPotKum]]&lt;=Reststimmen),Liste06[[#This Row],[ListPot]],0)</f>
        <v>0</v>
      </c>
      <c r="CA10" s="4">
        <f>MIN(SUMIFS(Liste06[Spalte1],Liste06[Spalte2],Liste06[[#This Row],[Spalte2]]),3)*(Liste06[[#This Row],[Mult]]=1)*StimmenzahlOk</f>
        <v>0</v>
      </c>
      <c r="CB10" s="15">
        <f>SUMIFS(Liste06[ListVerg],Liste06[Spalte2],Liste06[[#This Row],[Spalte2]])*(Liste06[[#This Row],[Mult]]=1)*ListenkreuzeOk</f>
        <v>0</v>
      </c>
      <c r="CC10" s="4">
        <f>Liste06[[#This Row],[Liste]]+Liste06[[#This Row],[Einzel]]</f>
        <v>0</v>
      </c>
      <c r="CE10" s="8"/>
      <c r="CF10" s="3">
        <v>706</v>
      </c>
      <c r="CG10" s="28" t="s">
        <v>480</v>
      </c>
      <c r="CH10" s="9" t="b">
        <f>AND((Liste07[[#This Row],[Wahl]]=0),LEN(Liste07[[#This Row],[Wahl]])=1)</f>
        <v>0</v>
      </c>
      <c r="CI10" s="9">
        <f t="array" ref="CI10">SUM((ROW(Liste07[Platz])&lt;=ROW())*(Liste07[Platz]=Liste07[[#This Row],[Platz]])*NOT(Liste07[IstGestrichen]))*NOT(Liste07[[#This Row],[IstGestrichen]])</f>
        <v>1</v>
      </c>
      <c r="CJ10" s="9">
        <f t="array" ref="CJ10">MIN(SUMIFS(Liste07[Wahl],Liste07[Platz],Liste07[[#This Row],[Platz]]),3)</f>
        <v>0</v>
      </c>
      <c r="CK10" s="9">
        <f>(Liste07[[#This Row],[Mult]]&gt;Liste07[[#This Row],[GülzST2]])*1*NOT(Liste07[[#This Row],[IstGestrichen]])</f>
        <v>1</v>
      </c>
      <c r="CL10" s="9">
        <f>SUMIFS(Liste07[ListPot],Liste07[Platz],Liste07[[#This Row],[Platz]],Liste07[Mult],"&lt;="&amp;Liste07[[#This Row],[Mult]])+SUMIFS(Liste07[ListPot],Liste07[Platz],"&lt;"&amp;Liste07[[#This Row],[Platz]])*Liste07[[#This Row],[ListPot]]</f>
        <v>6</v>
      </c>
      <c r="CM10" s="14">
        <f>IF(AND(NOT(ISBLANK(CE$3)),Liste07[[#This Row],[ListPotKum]]&lt;=Reststimmen),Liste07[[#This Row],[ListPot]],0)</f>
        <v>0</v>
      </c>
      <c r="CN10" s="4">
        <f>MIN(SUMIFS(Liste07[Wahl],Liste07[Platz],Liste07[[#This Row],[Platz]]),3)*(Liste07[[#This Row],[Mult]]=1)*StimmenzahlOk</f>
        <v>0</v>
      </c>
      <c r="CO10" s="15">
        <f>SUMIFS(Liste07[ListVerg],Liste07[Platz],Liste07[[#This Row],[Platz]])*(Liste07[[#This Row],[Mult]]=1)*ListenkreuzeOk</f>
        <v>0</v>
      </c>
      <c r="CP10" s="4">
        <f>Liste07[[#This Row],[Liste]]+Liste07[[#This Row],[Einzel]]</f>
        <v>0</v>
      </c>
      <c r="CR10" s="8"/>
      <c r="CS10" s="3">
        <v>806</v>
      </c>
      <c r="CT10" s="28" t="s">
        <v>531</v>
      </c>
      <c r="CU10" s="9" t="b">
        <f>AND((Liste08[[#This Row],[Wahl]]=0),LEN(Liste08[[#This Row],[Wahl]])=1)</f>
        <v>0</v>
      </c>
      <c r="CV10" s="9">
        <f t="array" ref="CV10">SUM((ROW(Liste08[Platz])&lt;=ROW())*(Liste08[Platz]=Liste08[[#This Row],[Platz]])*NOT(Liste08[IstGestrichen]))*NOT(Liste08[[#This Row],[IstGestrichen]])</f>
        <v>1</v>
      </c>
      <c r="CW10" s="9">
        <f t="array" ref="CW10">MIN(SUMIFS(Liste08[Wahl],Liste08[Platz],Liste08[[#This Row],[Platz]]),3)</f>
        <v>0</v>
      </c>
      <c r="CX10" s="9">
        <f>(Liste08[[#This Row],[Mult]]&gt;Liste08[[#This Row],[GülzST2]])*1*NOT(Liste08[[#This Row],[IstGestrichen]])</f>
        <v>1</v>
      </c>
      <c r="CY10" s="9">
        <f>SUMIFS(Liste08[ListPot],Liste08[Platz],Liste08[[#This Row],[Platz]],Liste08[Mult],"&lt;="&amp;Liste08[[#This Row],[Mult]])+SUMIFS(Liste08[ListPot],Liste08[Platz],"&lt;"&amp;Liste08[[#This Row],[Platz]])*Liste08[[#This Row],[ListPot]]</f>
        <v>6</v>
      </c>
      <c r="CZ10" s="14">
        <f>IF(AND(NOT(ISBLANK(CR$3)),Liste08[[#This Row],[ListPotKum]]&lt;=Reststimmen),Liste08[[#This Row],[ListPot]],0)</f>
        <v>0</v>
      </c>
      <c r="DA10" s="4">
        <f>MIN(SUMIFS(Liste08[Wahl],Liste08[Platz],Liste08[[#This Row],[Platz]]),3)*(Liste08[[#This Row],[Mult]]=1)*StimmenzahlOk</f>
        <v>0</v>
      </c>
      <c r="DB10" s="15">
        <f>SUMIFS(Liste08[ListVerg],Liste08[Platz],Liste08[[#This Row],[Platz]])*(Liste08[[#This Row],[Mult]]=1)*ListenkreuzeOk</f>
        <v>0</v>
      </c>
      <c r="DC10" s="4">
        <f>Liste08[[#This Row],[Liste]]+Liste08[[#This Row],[Einzel]]</f>
        <v>0</v>
      </c>
      <c r="DE10" s="8"/>
      <c r="DF10" s="3"/>
      <c r="DG10" s="28"/>
      <c r="DH10" s="9" t="b">
        <f>AND((Liste09[[#This Row],[Wahl]]=0),LEN(Liste09[[#This Row],[Wahl]])=1)</f>
        <v>0</v>
      </c>
      <c r="DI10" s="9">
        <f t="array" ref="DI10">SUM((ROW(Liste09[Platz])&lt;=ROW())*(Liste09[Platz]=Liste09[[#This Row],[Platz]])*NOT(Liste09[IstGestrichen]))*NOT(Liste09[[#This Row],[IstGestrichen]])</f>
        <v>6</v>
      </c>
      <c r="DJ10" s="9">
        <f t="array" ref="DJ10">MIN(SUMIFS(Liste09[Wahl],Liste09[Platz],Liste09[[#This Row],[Platz]]),3)</f>
        <v>0</v>
      </c>
      <c r="DK10" s="9">
        <f>(Liste09[[#This Row],[Mult]]&gt;Liste09[[#This Row],[GülzST2]])*1*NOT(Liste09[[#This Row],[IstGestrichen]])</f>
        <v>1</v>
      </c>
      <c r="DL10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0" s="14">
        <f>IF(AND(NOT(ISBLANK(DE$3)),Liste09[[#This Row],[ListPotKum]]&lt;=Reststimmen),Liste09[[#This Row],[ListPot]],0)</f>
        <v>0</v>
      </c>
      <c r="DN10" s="4">
        <f>MIN(SUMIFS(Liste09[Wahl],Liste09[Platz],Liste09[[#This Row],[Platz]]),3)*(Liste09[[#This Row],[Mult]]=1)*StimmenzahlOk</f>
        <v>0</v>
      </c>
      <c r="DO10" s="15">
        <f>SUMIFS(Liste09[ListVerg],Liste09[Platz],Liste09[[#This Row],[Platz]])*(Liste09[[#This Row],[Mult]]=1)*ListenkreuzeOk</f>
        <v>0</v>
      </c>
      <c r="DP10" s="4">
        <f>Liste09[[#This Row],[Liste]]+Liste09[[#This Row],[Einzel]]</f>
        <v>0</v>
      </c>
    </row>
    <row r="11" spans="1:131" ht="15.75" x14ac:dyDescent="0.25">
      <c r="A11" s="13" t="s">
        <v>22</v>
      </c>
      <c r="B11" s="21">
        <f>Liste01[[#Totals],[ListVerg]]+Liste02[[#Totals],[ListVerg]]+Liste03[[#Totals],[ListVerg]]+Liste04[[#Totals],[ListVerg]]+Liste05[[#Totals],[ListVerg]]+Liste06[[#Totals],[ListVerg]]+Liste07[[#Totals],[ListVerg]]+Liste08[[#Totals],[ListVerg]]+Liste09[[#Totals],[ListVerg]]</f>
        <v>0</v>
      </c>
      <c r="E11" s="8"/>
      <c r="F11" s="3">
        <v>107</v>
      </c>
      <c r="G11" s="2" t="s">
        <v>279</v>
      </c>
      <c r="H11" t="b">
        <f>AND((Liste01[[#This Row],[Wahl]]=0),LEN(Liste01[[#This Row],[Wahl]])=1)</f>
        <v>0</v>
      </c>
      <c r="I11">
        <f t="array" ref="I11">SUM((ROW(Liste01[Platz])&lt;=ROW())*(Liste01[Platz]=Liste01[[#This Row],[Platz]])*NOT(Liste01[IstGestrichen]))*NOT(Liste01[[#This Row],[IstGestrichen]])</f>
        <v>1</v>
      </c>
      <c r="J11">
        <f t="array" ref="J11">MIN(SUMIFS(Liste01[Wahl],Liste01[Platz],Liste01[[#This Row],[Platz]]),3)</f>
        <v>0</v>
      </c>
      <c r="K11">
        <f>(Liste01[[#This Row],[Mult]]&gt;Liste01[[#This Row],[GülzST2]])*1*NOT(Liste01[[#This Row],[IstGestrichen]])</f>
        <v>1</v>
      </c>
      <c r="L11">
        <f>SUMIFS(Liste01[ListPot],Liste01[Platz],Liste01[[#This Row],[Platz]],Liste01[Mult],"&lt;="&amp;Liste01[[#This Row],[Mult]])+SUMIFS(Liste01[ListPot],Liste01[Platz],"&lt;"&amp;Liste01[[#This Row],[Platz]])*Liste01[[#This Row],[ListPot]]</f>
        <v>7</v>
      </c>
      <c r="M11">
        <f>IF(AND(NOT(ISBLANK(E$3)),Liste01[[#This Row],[ListPotKum]]&lt;=Reststimmen),Liste01[[#This Row],[ListPot]],0)</f>
        <v>0</v>
      </c>
      <c r="N11" s="4">
        <f>MIN(SUMIFS(Liste01[Wahl],Liste01[Platz],Liste01[[#This Row],[Platz]]),3)*(Liste01[[#This Row],[Mult]]=1)*StimmenzahlOk</f>
        <v>0</v>
      </c>
      <c r="O11" s="4">
        <f>SUMIFS(Liste01[ListVerg],Liste01[Platz],Liste01[[#This Row],[Platz]])*(Liste01[[#This Row],[Mult]]=1)*ListenkreuzeOk</f>
        <v>0</v>
      </c>
      <c r="P11" s="4">
        <f>Liste01[[#This Row],[Liste]]+Liste01[[#This Row],[Einzel]]</f>
        <v>0</v>
      </c>
      <c r="R11" s="8"/>
      <c r="S11" s="3">
        <v>207</v>
      </c>
      <c r="T11" s="28" t="s">
        <v>329</v>
      </c>
      <c r="U11" t="b">
        <f>AND((Liste02[[#This Row],[Wahl]]=0),LEN(Liste02[[#This Row],[Wahl]])=1)</f>
        <v>0</v>
      </c>
      <c r="V11">
        <f t="array" ref="V11">SUM((ROW(Liste02[Platz])&lt;=ROW())*(Liste02[Platz]=Liste02[[#This Row],[Platz]])*NOT(Liste02[IstGestrichen]))*NOT(Liste02[[#This Row],[IstGestrichen]])</f>
        <v>1</v>
      </c>
      <c r="W11">
        <f t="array" ref="W11">MIN(SUMIFS(Liste02[Wahl],Liste02[Platz],Liste02[[#This Row],[Platz]]),3)</f>
        <v>0</v>
      </c>
      <c r="X11">
        <f>(Liste02[[#This Row],[Mult]]&gt;Liste02[[#This Row],[GülzST2]])*1*NOT(Liste02[[#This Row],[IstGestrichen]])</f>
        <v>1</v>
      </c>
      <c r="Y11">
        <f>SUMIFS(Liste02[ListPot],Liste02[Platz],Liste02[[#This Row],[Platz]],Liste02[Mult],"&lt;="&amp;Liste02[[#This Row],[Mult]])+SUMIFS(Liste02[ListPot],Liste02[Platz],"&lt;"&amp;Liste02[[#This Row],[Platz]])*Liste02[[#This Row],[ListPot]]</f>
        <v>7</v>
      </c>
      <c r="Z11">
        <f>IF(AND(NOT(ISBLANK(R$3)),Liste02[[#This Row],[ListPotKum]]&lt;=Reststimmen),Liste02[[#This Row],[ListPot]],0)</f>
        <v>0</v>
      </c>
      <c r="AA11" s="4">
        <f>MIN(SUMIFS(Liste02[Wahl],Liste02[Platz],Liste02[[#This Row],[Platz]]),3)*(Liste02[[#This Row],[Mult]]=1)*StimmenzahlOk</f>
        <v>0</v>
      </c>
      <c r="AB11" s="4">
        <f>SUMIFS(Liste02[ListVerg],Liste02[Platz],Liste02[[#This Row],[Platz]])*(Liste02[[#This Row],[Mult]]=1)*ListenkreuzeOk</f>
        <v>0</v>
      </c>
      <c r="AC11" s="4">
        <f>Liste02[[#This Row],[Liste]]+Liste02[[#This Row],[Einzel]]</f>
        <v>0</v>
      </c>
      <c r="AE11" s="8"/>
      <c r="AF11" s="3">
        <v>307</v>
      </c>
      <c r="AG11" s="28" t="s">
        <v>379</v>
      </c>
      <c r="AH11" t="b">
        <f>AND((Liste03[[#This Row],[Wahl]]=0),LEN(Liste03[[#This Row],[Wahl]])=1)</f>
        <v>0</v>
      </c>
      <c r="AI11">
        <f t="array" ref="AI11">SUM((ROW(Liste03[Platz])&lt;=ROW())*(Liste03[Platz]=Liste03[[#This Row],[Platz]])*NOT(Liste03[IstGestrichen]))*NOT(Liste03[[#This Row],[IstGestrichen]])</f>
        <v>1</v>
      </c>
      <c r="AJ11">
        <f t="array" ref="AJ11">MIN(SUMIFS(Liste03[Wahl],Liste03[Platz],Liste03[[#This Row],[Platz]]),3)</f>
        <v>0</v>
      </c>
      <c r="AK11">
        <f>(Liste03[[#This Row],[Mult]]&gt;Liste03[[#This Row],[GülzST2]])*1*NOT(Liste03[[#This Row],[IstGestrichen]])</f>
        <v>1</v>
      </c>
      <c r="AL11">
        <f>SUMIFS(Liste03[ListPot],Liste03[Platz],Liste03[[#This Row],[Platz]],Liste03[Mult],"&lt;="&amp;Liste03[[#This Row],[Mult]])+SUMIFS(Liste03[ListPot],Liste03[Platz],"&lt;"&amp;Liste03[[#This Row],[Platz]])*Liste03[[#This Row],[ListPot]]</f>
        <v>7</v>
      </c>
      <c r="AM11">
        <f>IF(AND(NOT(ISBLANK(AE$3)),Liste03[[#This Row],[ListPotKum]]&lt;=Reststimmen),Liste03[[#This Row],[ListPot]],0)</f>
        <v>0</v>
      </c>
      <c r="AN11" s="4">
        <f>MIN(SUMIFS(Liste03[Wahl],Liste03[Platz],Liste03[[#This Row],[Platz]]),3)*(Liste03[[#This Row],[Mult]]=1)*StimmenzahlOk</f>
        <v>0</v>
      </c>
      <c r="AO11" s="4">
        <f>SUMIFS(Liste03[ListVerg],Liste03[Platz],Liste03[[#This Row],[Platz]])*(Liste03[[#This Row],[Mult]]=1)*ListenkreuzeOk</f>
        <v>0</v>
      </c>
      <c r="AP11" s="4">
        <f>Liste03[[#This Row],[Liste]]+Liste03[[#This Row],[Einzel]]</f>
        <v>0</v>
      </c>
      <c r="AR11" s="8"/>
      <c r="AS11" s="3"/>
      <c r="AT11" s="28"/>
      <c r="AU11" t="b">
        <f>AND((Liste04[[#This Row],[Wahl]]=0),LEN(Liste04[[#This Row],[Wahl]])=1)</f>
        <v>0</v>
      </c>
      <c r="AV11">
        <f t="array" ref="AV11">SUM((ROW(Liste04[Platz])&lt;=ROW())*(Liste04[Platz]=Liste04[[#This Row],[Platz]])*NOT(Liste04[IstGestrichen]))*NOT(Liste04[[#This Row],[IstGestrichen]])</f>
        <v>7</v>
      </c>
      <c r="AW11">
        <f t="array" ref="AW11">MIN(SUMIFS(Liste04[Wahl],Liste04[Platz],Liste04[[#This Row],[Platz]]),3)</f>
        <v>0</v>
      </c>
      <c r="AX11">
        <f>(Liste04[[#This Row],[Mult]]&gt;Liste04[[#This Row],[GülzST2]])*1*NOT(Liste04[[#This Row],[IstGestrichen]])</f>
        <v>1</v>
      </c>
      <c r="AY11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1">
        <f>IF(AND(NOT(ISBLANK(AR$3)),Liste04[[#This Row],[ListPotKum]]&lt;=Reststimmen),Liste04[[#This Row],[ListPot]],0)</f>
        <v>0</v>
      </c>
      <c r="BA11" s="4">
        <f>MIN(SUMIFS(Liste04[Wahl],Liste04[Platz],Liste04[[#This Row],[Platz]]),3)*(Liste04[[#This Row],[Mult]]=1)*StimmenzahlOk</f>
        <v>0</v>
      </c>
      <c r="BB11" s="4">
        <f>SUMIFS(Liste04[ListVerg],Liste04[Platz],Liste04[[#This Row],[Platz]])*(Liste04[[#This Row],[Mult]]=1)*ListenkreuzeOk</f>
        <v>0</v>
      </c>
      <c r="BC11" s="4">
        <f>Liste04[[#This Row],[Liste]]+Liste04[[#This Row],[Einzel]]</f>
        <v>0</v>
      </c>
      <c r="BE11" s="8"/>
      <c r="BF11" s="3">
        <v>507</v>
      </c>
      <c r="BG11" s="28" t="s">
        <v>431</v>
      </c>
      <c r="BH11" t="b">
        <f>AND((Liste05[[#This Row],[Wahl]]=0),LEN(Liste05[[#This Row],[Wahl]])=1)</f>
        <v>0</v>
      </c>
      <c r="BI11">
        <f t="array" ref="BI11">SUM((ROW(Liste05[Platz])&lt;=ROW())*(Liste05[Platz]=Liste05[[#This Row],[Platz]])*NOT(Liste05[IstGestrichen]))*NOT(Liste05[[#This Row],[IstGestrichen]])</f>
        <v>1</v>
      </c>
      <c r="BJ11">
        <f t="array" ref="BJ11">MIN(SUMIFS(Liste05[Wahl],Liste05[Platz],Liste05[[#This Row],[Platz]]),3)</f>
        <v>0</v>
      </c>
      <c r="BK11">
        <f>(Liste05[[#This Row],[Mult]]&gt;Liste05[[#This Row],[GülzST2]])*1*NOT(Liste05[[#This Row],[IstGestrichen]])</f>
        <v>1</v>
      </c>
      <c r="BL11">
        <f>SUMIFS(Liste05[ListPot],Liste05[Platz],Liste05[[#This Row],[Platz]],Liste05[Mult],"&lt;="&amp;Liste05[[#This Row],[Mult]])+SUMIFS(Liste05[ListPot],Liste05[Platz],"&lt;"&amp;Liste05[[#This Row],[Platz]])*Liste05[[#This Row],[ListPot]]</f>
        <v>7</v>
      </c>
      <c r="BM11">
        <f>IF(AND(NOT(ISBLANK(BE$3)),Liste05[[#This Row],[ListPotKum]]&lt;=Reststimmen),Liste05[[#This Row],[ListPot]],0)</f>
        <v>0</v>
      </c>
      <c r="BN11" s="4">
        <f>MIN(SUMIFS(Liste05[Wahl],Liste05[Platz],Liste05[[#This Row],[Platz]]),3)*(Liste05[[#This Row],[Mult]]=1)*StimmenzahlOk</f>
        <v>0</v>
      </c>
      <c r="BO11" s="4">
        <f>SUMIFS(Liste05[ListVerg],Liste05[Platz],Liste05[[#This Row],[Platz]])*(Liste05[[#This Row],[Mult]]=1)*ListenkreuzeOk</f>
        <v>0</v>
      </c>
      <c r="BP11" s="4">
        <f>Liste05[[#This Row],[Liste]]+Liste05[[#This Row],[Einzel]]</f>
        <v>0</v>
      </c>
      <c r="BR11" s="8"/>
      <c r="BS11" s="3"/>
      <c r="BT11" s="28"/>
      <c r="BU11" t="b">
        <f>AND((Liste06[[#This Row],[Spalte1]]=0),LEN(Liste06[[#This Row],[Spalte1]])=1)</f>
        <v>0</v>
      </c>
      <c r="BV11">
        <f t="array" ref="BV11">SUM((ROW(Liste06[Spalte2])&lt;=ROW())*(Liste06[Spalte2]=Liste06[[#This Row],[Spalte2]])*NOT(Liste06[IstGestrichen]))*NOT(Liste06[[#This Row],[IstGestrichen]])</f>
        <v>7</v>
      </c>
      <c r="BW11">
        <f t="array" ref="BW11">MIN(SUMIFS(Liste06[Spalte1],Liste06[Spalte2],Liste06[[#This Row],[Spalte2]]),3)</f>
        <v>0</v>
      </c>
      <c r="BX11">
        <f>(Liste06[[#This Row],[Mult]]&gt;Liste06[[#This Row],[GülzST2]])*1*NOT(Liste06[[#This Row],[IstGestrichen]])</f>
        <v>1</v>
      </c>
      <c r="BY11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1">
        <f>IF(AND(NOT(ISBLANK(BR$3)),Liste06[[#This Row],[ListPotKum]]&lt;=Reststimmen),Liste06[[#This Row],[ListPot]],0)</f>
        <v>0</v>
      </c>
      <c r="CA11" s="4">
        <f>MIN(SUMIFS(Liste06[Spalte1],Liste06[Spalte2],Liste06[[#This Row],[Spalte2]]),3)*(Liste06[[#This Row],[Mult]]=1)*StimmenzahlOk</f>
        <v>0</v>
      </c>
      <c r="CB11" s="4">
        <f>SUMIFS(Liste06[ListVerg],Liste06[Spalte2],Liste06[[#This Row],[Spalte2]])*(Liste06[[#This Row],[Mult]]=1)*ListenkreuzeOk</f>
        <v>0</v>
      </c>
      <c r="CC11" s="4">
        <f>Liste06[[#This Row],[Liste]]+Liste06[[#This Row],[Einzel]]</f>
        <v>0</v>
      </c>
      <c r="CE11" s="8"/>
      <c r="CF11" s="3">
        <v>707</v>
      </c>
      <c r="CG11" s="28" t="s">
        <v>481</v>
      </c>
      <c r="CH11" t="b">
        <f>AND((Liste07[[#This Row],[Wahl]]=0),LEN(Liste07[[#This Row],[Wahl]])=1)</f>
        <v>0</v>
      </c>
      <c r="CI11">
        <f t="array" ref="CI11">SUM((ROW(Liste07[Platz])&lt;=ROW())*(Liste07[Platz]=Liste07[[#This Row],[Platz]])*NOT(Liste07[IstGestrichen]))*NOT(Liste07[[#This Row],[IstGestrichen]])</f>
        <v>1</v>
      </c>
      <c r="CJ11">
        <f t="array" ref="CJ11">MIN(SUMIFS(Liste07[Wahl],Liste07[Platz],Liste07[[#This Row],[Platz]]),3)</f>
        <v>0</v>
      </c>
      <c r="CK11">
        <f>(Liste07[[#This Row],[Mult]]&gt;Liste07[[#This Row],[GülzST2]])*1*NOT(Liste07[[#This Row],[IstGestrichen]])</f>
        <v>1</v>
      </c>
      <c r="CL11">
        <f>SUMIFS(Liste07[ListPot],Liste07[Platz],Liste07[[#This Row],[Platz]],Liste07[Mult],"&lt;="&amp;Liste07[[#This Row],[Mult]])+SUMIFS(Liste07[ListPot],Liste07[Platz],"&lt;"&amp;Liste07[[#This Row],[Platz]])*Liste07[[#This Row],[ListPot]]</f>
        <v>7</v>
      </c>
      <c r="CM11">
        <f>IF(AND(NOT(ISBLANK(CE$3)),Liste07[[#This Row],[ListPotKum]]&lt;=Reststimmen),Liste07[[#This Row],[ListPot]],0)</f>
        <v>0</v>
      </c>
      <c r="CN11" s="4">
        <f>MIN(SUMIFS(Liste07[Wahl],Liste07[Platz],Liste07[[#This Row],[Platz]]),3)*(Liste07[[#This Row],[Mult]]=1)*StimmenzahlOk</f>
        <v>0</v>
      </c>
      <c r="CO11" s="4">
        <f>SUMIFS(Liste07[ListVerg],Liste07[Platz],Liste07[[#This Row],[Platz]])*(Liste07[[#This Row],[Mult]]=1)*ListenkreuzeOk</f>
        <v>0</v>
      </c>
      <c r="CP11" s="4">
        <f>Liste07[[#This Row],[Liste]]+Liste07[[#This Row],[Einzel]]</f>
        <v>0</v>
      </c>
      <c r="CR11" s="8"/>
      <c r="CS11" s="3">
        <v>807</v>
      </c>
      <c r="CT11" s="28" t="s">
        <v>532</v>
      </c>
      <c r="CU11" t="b">
        <f>AND((Liste08[[#This Row],[Wahl]]=0),LEN(Liste08[[#This Row],[Wahl]])=1)</f>
        <v>0</v>
      </c>
      <c r="CV11">
        <f t="array" ref="CV11">SUM((ROW(Liste08[Platz])&lt;=ROW())*(Liste08[Platz]=Liste08[[#This Row],[Platz]])*NOT(Liste08[IstGestrichen]))*NOT(Liste08[[#This Row],[IstGestrichen]])</f>
        <v>1</v>
      </c>
      <c r="CW11">
        <f t="array" ref="CW11">MIN(SUMIFS(Liste08[Wahl],Liste08[Platz],Liste08[[#This Row],[Platz]]),3)</f>
        <v>0</v>
      </c>
      <c r="CX11">
        <f>(Liste08[[#This Row],[Mult]]&gt;Liste08[[#This Row],[GülzST2]])*1*NOT(Liste08[[#This Row],[IstGestrichen]])</f>
        <v>1</v>
      </c>
      <c r="CY11">
        <f>SUMIFS(Liste08[ListPot],Liste08[Platz],Liste08[[#This Row],[Platz]],Liste08[Mult],"&lt;="&amp;Liste08[[#This Row],[Mult]])+SUMIFS(Liste08[ListPot],Liste08[Platz],"&lt;"&amp;Liste08[[#This Row],[Platz]])*Liste08[[#This Row],[ListPot]]</f>
        <v>7</v>
      </c>
      <c r="CZ11">
        <f>IF(AND(NOT(ISBLANK(CR$3)),Liste08[[#This Row],[ListPotKum]]&lt;=Reststimmen),Liste08[[#This Row],[ListPot]],0)</f>
        <v>0</v>
      </c>
      <c r="DA11" s="4">
        <f>MIN(SUMIFS(Liste08[Wahl],Liste08[Platz],Liste08[[#This Row],[Platz]]),3)*(Liste08[[#This Row],[Mult]]=1)*StimmenzahlOk</f>
        <v>0</v>
      </c>
      <c r="DB11" s="4">
        <f>SUMIFS(Liste08[ListVerg],Liste08[Platz],Liste08[[#This Row],[Platz]])*(Liste08[[#This Row],[Mult]]=1)*ListenkreuzeOk</f>
        <v>0</v>
      </c>
      <c r="DC11" s="4">
        <f>Liste08[[#This Row],[Liste]]+Liste08[[#This Row],[Einzel]]</f>
        <v>0</v>
      </c>
      <c r="DE11" s="8"/>
      <c r="DF11" s="3"/>
      <c r="DG11" s="28"/>
      <c r="DH11" t="b">
        <f>AND((Liste09[[#This Row],[Wahl]]=0),LEN(Liste09[[#This Row],[Wahl]])=1)</f>
        <v>0</v>
      </c>
      <c r="DI11">
        <f t="array" ref="DI11">SUM((ROW(Liste09[Platz])&lt;=ROW())*(Liste09[Platz]=Liste09[[#This Row],[Platz]])*NOT(Liste09[IstGestrichen]))*NOT(Liste09[[#This Row],[IstGestrichen]])</f>
        <v>7</v>
      </c>
      <c r="DJ11">
        <f t="array" ref="DJ11">MIN(SUMIFS(Liste09[Wahl],Liste09[Platz],Liste09[[#This Row],[Platz]]),3)</f>
        <v>0</v>
      </c>
      <c r="DK11">
        <f>(Liste09[[#This Row],[Mult]]&gt;Liste09[[#This Row],[GülzST2]])*1*NOT(Liste09[[#This Row],[IstGestrichen]])</f>
        <v>1</v>
      </c>
      <c r="DL11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1">
        <f>IF(AND(NOT(ISBLANK(DE$3)),Liste09[[#This Row],[ListPotKum]]&lt;=Reststimmen),Liste09[[#This Row],[ListPot]],0)</f>
        <v>0</v>
      </c>
      <c r="DN11" s="4">
        <f>MIN(SUMIFS(Liste09[Wahl],Liste09[Platz],Liste09[[#This Row],[Platz]]),3)*(Liste09[[#This Row],[Mult]]=1)*StimmenzahlOk</f>
        <v>0</v>
      </c>
      <c r="DO11" s="4">
        <f>SUMIFS(Liste09[ListVerg],Liste09[Platz],Liste09[[#This Row],[Platz]])*(Liste09[[#This Row],[Mult]]=1)*ListenkreuzeOk</f>
        <v>0</v>
      </c>
      <c r="DP11" s="4">
        <f>Liste09[[#This Row],[Liste]]+Liste09[[#This Row],[Einzel]]</f>
        <v>0</v>
      </c>
    </row>
    <row r="12" spans="1:131" ht="15.75" x14ac:dyDescent="0.25">
      <c r="A12" s="13" t="s">
        <v>23</v>
      </c>
      <c r="B12" s="23" t="b">
        <f>AND((VergebeneListenstimmen&lt;=Reststimmen),StimmenzahlOk)</f>
        <v>1</v>
      </c>
      <c r="E12" s="8"/>
      <c r="F12" s="3">
        <v>108</v>
      </c>
      <c r="G12" s="2" t="s">
        <v>280</v>
      </c>
      <c r="H12" t="b">
        <f>AND((Liste01[[#This Row],[Wahl]]=0),LEN(Liste01[[#This Row],[Wahl]])=1)</f>
        <v>0</v>
      </c>
      <c r="I12">
        <f t="array" ref="I12">SUM((ROW(Liste01[Platz])&lt;=ROW())*(Liste01[Platz]=Liste01[[#This Row],[Platz]])*NOT(Liste01[IstGestrichen]))*NOT(Liste01[[#This Row],[IstGestrichen]])</f>
        <v>1</v>
      </c>
      <c r="J12">
        <f t="array" ref="J12">MIN(SUMIFS(Liste01[Wahl],Liste01[Platz],Liste01[[#This Row],[Platz]]),3)</f>
        <v>0</v>
      </c>
      <c r="K12">
        <f>(Liste01[[#This Row],[Mult]]&gt;Liste01[[#This Row],[GülzST2]])*1*NOT(Liste01[[#This Row],[IstGestrichen]])</f>
        <v>1</v>
      </c>
      <c r="L12">
        <f>SUMIFS(Liste01[ListPot],Liste01[Platz],Liste01[[#This Row],[Platz]],Liste01[Mult],"&lt;="&amp;Liste01[[#This Row],[Mult]])+SUMIFS(Liste01[ListPot],Liste01[Platz],"&lt;"&amp;Liste01[[#This Row],[Platz]])*Liste01[[#This Row],[ListPot]]</f>
        <v>8</v>
      </c>
      <c r="M12">
        <f>IF(AND(NOT(ISBLANK(E$3)),Liste01[[#This Row],[ListPotKum]]&lt;=Reststimmen),Liste01[[#This Row],[ListPot]],0)</f>
        <v>0</v>
      </c>
      <c r="N12" s="4">
        <f>MIN(SUMIFS(Liste01[Wahl],Liste01[Platz],Liste01[[#This Row],[Platz]]),3)*(Liste01[[#This Row],[Mult]]=1)*StimmenzahlOk</f>
        <v>0</v>
      </c>
      <c r="O12" s="4">
        <f>SUMIFS(Liste01[ListVerg],Liste01[Platz],Liste01[[#This Row],[Platz]])*(Liste01[[#This Row],[Mult]]=1)*ListenkreuzeOk</f>
        <v>0</v>
      </c>
      <c r="P12" s="4">
        <f>Liste01[[#This Row],[Liste]]+Liste01[[#This Row],[Einzel]]</f>
        <v>0</v>
      </c>
      <c r="R12" s="8"/>
      <c r="S12" s="3">
        <v>208</v>
      </c>
      <c r="T12" s="28" t="s">
        <v>330</v>
      </c>
      <c r="U12" t="b">
        <f>AND((Liste02[[#This Row],[Wahl]]=0),LEN(Liste02[[#This Row],[Wahl]])=1)</f>
        <v>0</v>
      </c>
      <c r="V12">
        <f t="array" ref="V12">SUM((ROW(Liste02[Platz])&lt;=ROW())*(Liste02[Platz]=Liste02[[#This Row],[Platz]])*NOT(Liste02[IstGestrichen]))*NOT(Liste02[[#This Row],[IstGestrichen]])</f>
        <v>1</v>
      </c>
      <c r="W12">
        <f t="array" ref="W12">MIN(SUMIFS(Liste02[Wahl],Liste02[Platz],Liste02[[#This Row],[Platz]]),3)</f>
        <v>0</v>
      </c>
      <c r="X12">
        <f>(Liste02[[#This Row],[Mult]]&gt;Liste02[[#This Row],[GülzST2]])*1*NOT(Liste02[[#This Row],[IstGestrichen]])</f>
        <v>1</v>
      </c>
      <c r="Y12">
        <f>SUMIFS(Liste02[ListPot],Liste02[Platz],Liste02[[#This Row],[Platz]],Liste02[Mult],"&lt;="&amp;Liste02[[#This Row],[Mult]])+SUMIFS(Liste02[ListPot],Liste02[Platz],"&lt;"&amp;Liste02[[#This Row],[Platz]])*Liste02[[#This Row],[ListPot]]</f>
        <v>8</v>
      </c>
      <c r="Z12">
        <f>IF(AND(NOT(ISBLANK(R$3)),Liste02[[#This Row],[ListPotKum]]&lt;=Reststimmen),Liste02[[#This Row],[ListPot]],0)</f>
        <v>0</v>
      </c>
      <c r="AA12" s="4">
        <f>MIN(SUMIFS(Liste02[Wahl],Liste02[Platz],Liste02[[#This Row],[Platz]]),3)*(Liste02[[#This Row],[Mult]]=1)*StimmenzahlOk</f>
        <v>0</v>
      </c>
      <c r="AB12" s="4">
        <f>SUMIFS(Liste02[ListVerg],Liste02[Platz],Liste02[[#This Row],[Platz]])*(Liste02[[#This Row],[Mult]]=1)*ListenkreuzeOk</f>
        <v>0</v>
      </c>
      <c r="AC12" s="4">
        <f>Liste02[[#This Row],[Liste]]+Liste02[[#This Row],[Einzel]]</f>
        <v>0</v>
      </c>
      <c r="AE12" s="8"/>
      <c r="AF12" s="3">
        <v>308</v>
      </c>
      <c r="AG12" s="28" t="s">
        <v>380</v>
      </c>
      <c r="AH12" t="b">
        <f>AND((Liste03[[#This Row],[Wahl]]=0),LEN(Liste03[[#This Row],[Wahl]])=1)</f>
        <v>0</v>
      </c>
      <c r="AI12">
        <f t="array" ref="AI12">SUM((ROW(Liste03[Platz])&lt;=ROW())*(Liste03[Platz]=Liste03[[#This Row],[Platz]])*NOT(Liste03[IstGestrichen]))*NOT(Liste03[[#This Row],[IstGestrichen]])</f>
        <v>1</v>
      </c>
      <c r="AJ12">
        <f t="array" ref="AJ12">MIN(SUMIFS(Liste03[Wahl],Liste03[Platz],Liste03[[#This Row],[Platz]]),3)</f>
        <v>0</v>
      </c>
      <c r="AK12">
        <f>(Liste03[[#This Row],[Mult]]&gt;Liste03[[#This Row],[GülzST2]])*1*NOT(Liste03[[#This Row],[IstGestrichen]])</f>
        <v>1</v>
      </c>
      <c r="AL12">
        <f>SUMIFS(Liste03[ListPot],Liste03[Platz],Liste03[[#This Row],[Platz]],Liste03[Mult],"&lt;="&amp;Liste03[[#This Row],[Mult]])+SUMIFS(Liste03[ListPot],Liste03[Platz],"&lt;"&amp;Liste03[[#This Row],[Platz]])*Liste03[[#This Row],[ListPot]]</f>
        <v>8</v>
      </c>
      <c r="AM12">
        <f>IF(AND(NOT(ISBLANK(AE$3)),Liste03[[#This Row],[ListPotKum]]&lt;=Reststimmen),Liste03[[#This Row],[ListPot]],0)</f>
        <v>0</v>
      </c>
      <c r="AN12" s="4">
        <f>MIN(SUMIFS(Liste03[Wahl],Liste03[Platz],Liste03[[#This Row],[Platz]]),3)*(Liste03[[#This Row],[Mult]]=1)*StimmenzahlOk</f>
        <v>0</v>
      </c>
      <c r="AO12" s="4">
        <f>SUMIFS(Liste03[ListVerg],Liste03[Platz],Liste03[[#This Row],[Platz]])*(Liste03[[#This Row],[Mult]]=1)*ListenkreuzeOk</f>
        <v>0</v>
      </c>
      <c r="AP12" s="4">
        <f>Liste03[[#This Row],[Liste]]+Liste03[[#This Row],[Einzel]]</f>
        <v>0</v>
      </c>
      <c r="AR12" s="8"/>
      <c r="AS12" s="3"/>
      <c r="AT12" s="28"/>
      <c r="AU12" t="b">
        <f>AND((Liste04[[#This Row],[Wahl]]=0),LEN(Liste04[[#This Row],[Wahl]])=1)</f>
        <v>0</v>
      </c>
      <c r="AV12">
        <f t="array" ref="AV12">SUM((ROW(Liste04[Platz])&lt;=ROW())*(Liste04[Platz]=Liste04[[#This Row],[Platz]])*NOT(Liste04[IstGestrichen]))*NOT(Liste04[[#This Row],[IstGestrichen]])</f>
        <v>8</v>
      </c>
      <c r="AW12">
        <f t="array" ref="AW12">MIN(SUMIFS(Liste04[Wahl],Liste04[Platz],Liste04[[#This Row],[Platz]]),3)</f>
        <v>0</v>
      </c>
      <c r="AX12">
        <f>(Liste04[[#This Row],[Mult]]&gt;Liste04[[#This Row],[GülzST2]])*1*NOT(Liste04[[#This Row],[IstGestrichen]])</f>
        <v>1</v>
      </c>
      <c r="AY12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2">
        <f>IF(AND(NOT(ISBLANK(AR$3)),Liste04[[#This Row],[ListPotKum]]&lt;=Reststimmen),Liste04[[#This Row],[ListPot]],0)</f>
        <v>0</v>
      </c>
      <c r="BA12" s="4">
        <f>MIN(SUMIFS(Liste04[Wahl],Liste04[Platz],Liste04[[#This Row],[Platz]]),3)*(Liste04[[#This Row],[Mult]]=1)*StimmenzahlOk</f>
        <v>0</v>
      </c>
      <c r="BB12" s="4">
        <f>SUMIFS(Liste04[ListVerg],Liste04[Platz],Liste04[[#This Row],[Platz]])*(Liste04[[#This Row],[Mult]]=1)*ListenkreuzeOk</f>
        <v>0</v>
      </c>
      <c r="BC12" s="4">
        <f>Liste04[[#This Row],[Liste]]+Liste04[[#This Row],[Einzel]]</f>
        <v>0</v>
      </c>
      <c r="BE12" s="8"/>
      <c r="BF12" s="3">
        <v>508</v>
      </c>
      <c r="BG12" s="28" t="s">
        <v>432</v>
      </c>
      <c r="BH12" t="b">
        <f>AND((Liste05[[#This Row],[Wahl]]=0),LEN(Liste05[[#This Row],[Wahl]])=1)</f>
        <v>0</v>
      </c>
      <c r="BI12">
        <f t="array" ref="BI12">SUM((ROW(Liste05[Platz])&lt;=ROW())*(Liste05[Platz]=Liste05[[#This Row],[Platz]])*NOT(Liste05[IstGestrichen]))*NOT(Liste05[[#This Row],[IstGestrichen]])</f>
        <v>1</v>
      </c>
      <c r="BJ12">
        <f t="array" ref="BJ12">MIN(SUMIFS(Liste05[Wahl],Liste05[Platz],Liste05[[#This Row],[Platz]]),3)</f>
        <v>0</v>
      </c>
      <c r="BK12">
        <f>(Liste05[[#This Row],[Mult]]&gt;Liste05[[#This Row],[GülzST2]])*1*NOT(Liste05[[#This Row],[IstGestrichen]])</f>
        <v>1</v>
      </c>
      <c r="BL12">
        <f>SUMIFS(Liste05[ListPot],Liste05[Platz],Liste05[[#This Row],[Platz]],Liste05[Mult],"&lt;="&amp;Liste05[[#This Row],[Mult]])+SUMIFS(Liste05[ListPot],Liste05[Platz],"&lt;"&amp;Liste05[[#This Row],[Platz]])*Liste05[[#This Row],[ListPot]]</f>
        <v>8</v>
      </c>
      <c r="BM12">
        <f>IF(AND(NOT(ISBLANK(BE$3)),Liste05[[#This Row],[ListPotKum]]&lt;=Reststimmen),Liste05[[#This Row],[ListPot]],0)</f>
        <v>0</v>
      </c>
      <c r="BN12" s="4">
        <f>MIN(SUMIFS(Liste05[Wahl],Liste05[Platz],Liste05[[#This Row],[Platz]]),3)*(Liste05[[#This Row],[Mult]]=1)*StimmenzahlOk</f>
        <v>0</v>
      </c>
      <c r="BO12" s="4">
        <f>SUMIFS(Liste05[ListVerg],Liste05[Platz],Liste05[[#This Row],[Platz]])*(Liste05[[#This Row],[Mult]]=1)*ListenkreuzeOk</f>
        <v>0</v>
      </c>
      <c r="BP12" s="4">
        <f>Liste05[[#This Row],[Liste]]+Liste05[[#This Row],[Einzel]]</f>
        <v>0</v>
      </c>
      <c r="BR12" s="8"/>
      <c r="BS12" s="3"/>
      <c r="BT12" s="34"/>
      <c r="BU12" t="b">
        <f>AND((Liste06[[#This Row],[Spalte1]]=0),LEN(Liste06[[#This Row],[Spalte1]])=1)</f>
        <v>0</v>
      </c>
      <c r="BV12">
        <f t="array" ref="BV12">SUM((ROW(Liste06[Spalte2])&lt;=ROW())*(Liste06[Spalte2]=Liste06[[#This Row],[Spalte2]])*NOT(Liste06[IstGestrichen]))*NOT(Liste06[[#This Row],[IstGestrichen]])</f>
        <v>8</v>
      </c>
      <c r="BW12">
        <f t="array" ref="BW12">MIN(SUMIFS(Liste06[Spalte1],Liste06[Spalte2],Liste06[[#This Row],[Spalte2]]),3)</f>
        <v>0</v>
      </c>
      <c r="BX12">
        <f>(Liste06[[#This Row],[Mult]]&gt;Liste06[[#This Row],[GülzST2]])*1*NOT(Liste06[[#This Row],[IstGestrichen]])</f>
        <v>1</v>
      </c>
      <c r="BY12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2">
        <f>IF(AND(NOT(ISBLANK(BR$3)),Liste06[[#This Row],[ListPotKum]]&lt;=Reststimmen),Liste06[[#This Row],[ListPot]],0)</f>
        <v>0</v>
      </c>
      <c r="CA12" s="4">
        <f>MIN(SUMIFS(Liste06[Spalte1],Liste06[Spalte2],Liste06[[#This Row],[Spalte2]]),3)*(Liste06[[#This Row],[Mult]]=1)*StimmenzahlOk</f>
        <v>0</v>
      </c>
      <c r="CB12" s="4">
        <f>SUMIFS(Liste06[ListVerg],Liste06[Spalte2],Liste06[[#This Row],[Spalte2]])*(Liste06[[#This Row],[Mult]]=1)*ListenkreuzeOk</f>
        <v>0</v>
      </c>
      <c r="CC12" s="4">
        <f>Liste06[[#This Row],[Liste]]+Liste06[[#This Row],[Einzel]]</f>
        <v>0</v>
      </c>
      <c r="CE12" s="8"/>
      <c r="CF12" s="3">
        <v>708</v>
      </c>
      <c r="CG12" s="28" t="s">
        <v>482</v>
      </c>
      <c r="CH12" t="b">
        <f>AND((Liste07[[#This Row],[Wahl]]=0),LEN(Liste07[[#This Row],[Wahl]])=1)</f>
        <v>0</v>
      </c>
      <c r="CI12">
        <f t="array" ref="CI12">SUM((ROW(Liste07[Platz])&lt;=ROW())*(Liste07[Platz]=Liste07[[#This Row],[Platz]])*NOT(Liste07[IstGestrichen]))*NOT(Liste07[[#This Row],[IstGestrichen]])</f>
        <v>1</v>
      </c>
      <c r="CJ12">
        <f t="array" ref="CJ12">MIN(SUMIFS(Liste07[Wahl],Liste07[Platz],Liste07[[#This Row],[Platz]]),3)</f>
        <v>0</v>
      </c>
      <c r="CK12">
        <f>(Liste07[[#This Row],[Mult]]&gt;Liste07[[#This Row],[GülzST2]])*1*NOT(Liste07[[#This Row],[IstGestrichen]])</f>
        <v>1</v>
      </c>
      <c r="CL12">
        <f>SUMIFS(Liste07[ListPot],Liste07[Platz],Liste07[[#This Row],[Platz]],Liste07[Mult],"&lt;="&amp;Liste07[[#This Row],[Mult]])+SUMIFS(Liste07[ListPot],Liste07[Platz],"&lt;"&amp;Liste07[[#This Row],[Platz]])*Liste07[[#This Row],[ListPot]]</f>
        <v>8</v>
      </c>
      <c r="CM12">
        <f>IF(AND(NOT(ISBLANK(CE$3)),Liste07[[#This Row],[ListPotKum]]&lt;=Reststimmen),Liste07[[#This Row],[ListPot]],0)</f>
        <v>0</v>
      </c>
      <c r="CN12" s="4">
        <f>MIN(SUMIFS(Liste07[Wahl],Liste07[Platz],Liste07[[#This Row],[Platz]]),3)*(Liste07[[#This Row],[Mult]]=1)*StimmenzahlOk</f>
        <v>0</v>
      </c>
      <c r="CO12" s="4">
        <f>SUMIFS(Liste07[ListVerg],Liste07[Platz],Liste07[[#This Row],[Platz]])*(Liste07[[#This Row],[Mult]]=1)*ListenkreuzeOk</f>
        <v>0</v>
      </c>
      <c r="CP12" s="4">
        <f>Liste07[[#This Row],[Liste]]+Liste07[[#This Row],[Einzel]]</f>
        <v>0</v>
      </c>
      <c r="CR12" s="8"/>
      <c r="CS12" s="3">
        <v>808</v>
      </c>
      <c r="CT12" s="28" t="s">
        <v>533</v>
      </c>
      <c r="CU12" t="b">
        <f>AND((Liste08[[#This Row],[Wahl]]=0),LEN(Liste08[[#This Row],[Wahl]])=1)</f>
        <v>0</v>
      </c>
      <c r="CV12">
        <f t="array" ref="CV12">SUM((ROW(Liste08[Platz])&lt;=ROW())*(Liste08[Platz]=Liste08[[#This Row],[Platz]])*NOT(Liste08[IstGestrichen]))*NOT(Liste08[[#This Row],[IstGestrichen]])</f>
        <v>1</v>
      </c>
      <c r="CW12">
        <f t="array" ref="CW12">MIN(SUMIFS(Liste08[Wahl],Liste08[Platz],Liste08[[#This Row],[Platz]]),3)</f>
        <v>0</v>
      </c>
      <c r="CX12">
        <f>(Liste08[[#This Row],[Mult]]&gt;Liste08[[#This Row],[GülzST2]])*1*NOT(Liste08[[#This Row],[IstGestrichen]])</f>
        <v>1</v>
      </c>
      <c r="CY12">
        <f>SUMIFS(Liste08[ListPot],Liste08[Platz],Liste08[[#This Row],[Platz]],Liste08[Mult],"&lt;="&amp;Liste08[[#This Row],[Mult]])+SUMIFS(Liste08[ListPot],Liste08[Platz],"&lt;"&amp;Liste08[[#This Row],[Platz]])*Liste08[[#This Row],[ListPot]]</f>
        <v>8</v>
      </c>
      <c r="CZ12">
        <f>IF(AND(NOT(ISBLANK(CR$3)),Liste08[[#This Row],[ListPotKum]]&lt;=Reststimmen),Liste08[[#This Row],[ListPot]],0)</f>
        <v>0</v>
      </c>
      <c r="DA12" s="4">
        <f>MIN(SUMIFS(Liste08[Wahl],Liste08[Platz],Liste08[[#This Row],[Platz]]),3)*(Liste08[[#This Row],[Mult]]=1)*StimmenzahlOk</f>
        <v>0</v>
      </c>
      <c r="DB12" s="4">
        <f>SUMIFS(Liste08[ListVerg],Liste08[Platz],Liste08[[#This Row],[Platz]])*(Liste08[[#This Row],[Mult]]=1)*ListenkreuzeOk</f>
        <v>0</v>
      </c>
      <c r="DC12" s="4">
        <f>Liste08[[#This Row],[Liste]]+Liste08[[#This Row],[Einzel]]</f>
        <v>0</v>
      </c>
      <c r="DE12" s="8"/>
      <c r="DF12" s="3"/>
      <c r="DG12" s="28"/>
      <c r="DH12" t="b">
        <f>AND((Liste09[[#This Row],[Wahl]]=0),LEN(Liste09[[#This Row],[Wahl]])=1)</f>
        <v>0</v>
      </c>
      <c r="DI12">
        <f t="array" ref="DI12">SUM((ROW(Liste09[Platz])&lt;=ROW())*(Liste09[Platz]=Liste09[[#This Row],[Platz]])*NOT(Liste09[IstGestrichen]))*NOT(Liste09[[#This Row],[IstGestrichen]])</f>
        <v>8</v>
      </c>
      <c r="DJ12">
        <f t="array" ref="DJ12">MIN(SUMIFS(Liste09[Wahl],Liste09[Platz],Liste09[[#This Row],[Platz]]),3)</f>
        <v>0</v>
      </c>
      <c r="DK12">
        <f>(Liste09[[#This Row],[Mult]]&gt;Liste09[[#This Row],[GülzST2]])*1*NOT(Liste09[[#This Row],[IstGestrichen]])</f>
        <v>1</v>
      </c>
      <c r="DL12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2">
        <f>IF(AND(NOT(ISBLANK(DE$3)),Liste09[[#This Row],[ListPotKum]]&lt;=Reststimmen),Liste09[[#This Row],[ListPot]],0)</f>
        <v>0</v>
      </c>
      <c r="DN12" s="4">
        <f>MIN(SUMIFS(Liste09[Wahl],Liste09[Platz],Liste09[[#This Row],[Platz]]),3)*(Liste09[[#This Row],[Mult]]=1)*StimmenzahlOk</f>
        <v>0</v>
      </c>
      <c r="DO12" s="4">
        <f>SUMIFS(Liste09[ListVerg],Liste09[Platz],Liste09[[#This Row],[Platz]])*(Liste09[[#This Row],[Mult]]=1)*ListenkreuzeOk</f>
        <v>0</v>
      </c>
      <c r="DP12" s="4">
        <f>Liste09[[#This Row],[Liste]]+Liste09[[#This Row],[Einzel]]</f>
        <v>0</v>
      </c>
    </row>
    <row r="13" spans="1:131" ht="15.75" x14ac:dyDescent="0.25">
      <c r="A13" s="13" t="s">
        <v>25</v>
      </c>
      <c r="B13" s="24">
        <f>GueltigeEinzelstimmen+IF(ListenkreuzeOk,VergebeneListenstimmen,0)</f>
        <v>0</v>
      </c>
      <c r="E13" s="8"/>
      <c r="F13" s="3">
        <v>109</v>
      </c>
      <c r="G13" s="2" t="s">
        <v>281</v>
      </c>
      <c r="H13" t="b">
        <f>AND((Liste01[[#This Row],[Wahl]]=0),LEN(Liste01[[#This Row],[Wahl]])=1)</f>
        <v>0</v>
      </c>
      <c r="I13">
        <f t="array" ref="I13">SUM((ROW(Liste01[Platz])&lt;=ROW())*(Liste01[Platz]=Liste01[[#This Row],[Platz]])*NOT(Liste01[IstGestrichen]))*NOT(Liste01[[#This Row],[IstGestrichen]])</f>
        <v>1</v>
      </c>
      <c r="J13">
        <f t="array" ref="J13">MIN(SUMIFS(Liste01[Wahl],Liste01[Platz],Liste01[[#This Row],[Platz]]),3)</f>
        <v>0</v>
      </c>
      <c r="K13">
        <f>(Liste01[[#This Row],[Mult]]&gt;Liste01[[#This Row],[GülzST2]])*1*NOT(Liste01[[#This Row],[IstGestrichen]])</f>
        <v>1</v>
      </c>
      <c r="L13">
        <f>SUMIFS(Liste01[ListPot],Liste01[Platz],Liste01[[#This Row],[Platz]],Liste01[Mult],"&lt;="&amp;Liste01[[#This Row],[Mult]])+SUMIFS(Liste01[ListPot],Liste01[Platz],"&lt;"&amp;Liste01[[#This Row],[Platz]])*Liste01[[#This Row],[ListPot]]</f>
        <v>9</v>
      </c>
      <c r="M13">
        <f>IF(AND(NOT(ISBLANK(E$3)),Liste01[[#This Row],[ListPotKum]]&lt;=Reststimmen),Liste01[[#This Row],[ListPot]],0)</f>
        <v>0</v>
      </c>
      <c r="N13" s="4">
        <f>MIN(SUMIFS(Liste01[Wahl],Liste01[Platz],Liste01[[#This Row],[Platz]]),3)*(Liste01[[#This Row],[Mult]]=1)*StimmenzahlOk</f>
        <v>0</v>
      </c>
      <c r="O13" s="4">
        <f>SUMIFS(Liste01[ListVerg],Liste01[Platz],Liste01[[#This Row],[Platz]])*(Liste01[[#This Row],[Mult]]=1)*ListenkreuzeOk</f>
        <v>0</v>
      </c>
      <c r="P13" s="4">
        <f>Liste01[[#This Row],[Liste]]+Liste01[[#This Row],[Einzel]]</f>
        <v>0</v>
      </c>
      <c r="R13" s="8"/>
      <c r="S13" s="3">
        <v>209</v>
      </c>
      <c r="T13" s="28" t="s">
        <v>331</v>
      </c>
      <c r="U13" t="b">
        <f>AND((Liste02[[#This Row],[Wahl]]=0),LEN(Liste02[[#This Row],[Wahl]])=1)</f>
        <v>0</v>
      </c>
      <c r="V13">
        <f t="array" ref="V13">SUM((ROW(Liste02[Platz])&lt;=ROW())*(Liste02[Platz]=Liste02[[#This Row],[Platz]])*NOT(Liste02[IstGestrichen]))*NOT(Liste02[[#This Row],[IstGestrichen]])</f>
        <v>1</v>
      </c>
      <c r="W13">
        <f t="array" ref="W13">MIN(SUMIFS(Liste02[Wahl],Liste02[Platz],Liste02[[#This Row],[Platz]]),3)</f>
        <v>0</v>
      </c>
      <c r="X13">
        <f>(Liste02[[#This Row],[Mult]]&gt;Liste02[[#This Row],[GülzST2]])*1*NOT(Liste02[[#This Row],[IstGestrichen]])</f>
        <v>1</v>
      </c>
      <c r="Y13">
        <f>SUMIFS(Liste02[ListPot],Liste02[Platz],Liste02[[#This Row],[Platz]],Liste02[Mult],"&lt;="&amp;Liste02[[#This Row],[Mult]])+SUMIFS(Liste02[ListPot],Liste02[Platz],"&lt;"&amp;Liste02[[#This Row],[Platz]])*Liste02[[#This Row],[ListPot]]</f>
        <v>9</v>
      </c>
      <c r="Z13">
        <f>IF(AND(NOT(ISBLANK(R$3)),Liste02[[#This Row],[ListPotKum]]&lt;=Reststimmen),Liste02[[#This Row],[ListPot]],0)</f>
        <v>0</v>
      </c>
      <c r="AA13" s="4">
        <f>MIN(SUMIFS(Liste02[Wahl],Liste02[Platz],Liste02[[#This Row],[Platz]]),3)*(Liste02[[#This Row],[Mult]]=1)*StimmenzahlOk</f>
        <v>0</v>
      </c>
      <c r="AB13" s="4">
        <f>SUMIFS(Liste02[ListVerg],Liste02[Platz],Liste02[[#This Row],[Platz]])*(Liste02[[#This Row],[Mult]]=1)*ListenkreuzeOk</f>
        <v>0</v>
      </c>
      <c r="AC13" s="4">
        <f>Liste02[[#This Row],[Liste]]+Liste02[[#This Row],[Einzel]]</f>
        <v>0</v>
      </c>
      <c r="AE13" s="8"/>
      <c r="AF13" s="3">
        <v>309</v>
      </c>
      <c r="AG13" s="28" t="s">
        <v>381</v>
      </c>
      <c r="AH13" t="b">
        <f>AND((Liste03[[#This Row],[Wahl]]=0),LEN(Liste03[[#This Row],[Wahl]])=1)</f>
        <v>0</v>
      </c>
      <c r="AI13">
        <f t="array" ref="AI13">SUM((ROW(Liste03[Platz])&lt;=ROW())*(Liste03[Platz]=Liste03[[#This Row],[Platz]])*NOT(Liste03[IstGestrichen]))*NOT(Liste03[[#This Row],[IstGestrichen]])</f>
        <v>1</v>
      </c>
      <c r="AJ13">
        <f t="array" ref="AJ13">MIN(SUMIFS(Liste03[Wahl],Liste03[Platz],Liste03[[#This Row],[Platz]]),3)</f>
        <v>0</v>
      </c>
      <c r="AK13">
        <f>(Liste03[[#This Row],[Mult]]&gt;Liste03[[#This Row],[GülzST2]])*1*NOT(Liste03[[#This Row],[IstGestrichen]])</f>
        <v>1</v>
      </c>
      <c r="AL13">
        <f>SUMIFS(Liste03[ListPot],Liste03[Platz],Liste03[[#This Row],[Platz]],Liste03[Mult],"&lt;="&amp;Liste03[[#This Row],[Mult]])+SUMIFS(Liste03[ListPot],Liste03[Platz],"&lt;"&amp;Liste03[[#This Row],[Platz]])*Liste03[[#This Row],[ListPot]]</f>
        <v>9</v>
      </c>
      <c r="AM13">
        <f>IF(AND(NOT(ISBLANK(AE$3)),Liste03[[#This Row],[ListPotKum]]&lt;=Reststimmen),Liste03[[#This Row],[ListPot]],0)</f>
        <v>0</v>
      </c>
      <c r="AN13" s="4">
        <f>MIN(SUMIFS(Liste03[Wahl],Liste03[Platz],Liste03[[#This Row],[Platz]]),3)*(Liste03[[#This Row],[Mult]]=1)*StimmenzahlOk</f>
        <v>0</v>
      </c>
      <c r="AO13" s="4">
        <f>SUMIFS(Liste03[ListVerg],Liste03[Platz],Liste03[[#This Row],[Platz]])*(Liste03[[#This Row],[Mult]]=1)*ListenkreuzeOk</f>
        <v>0</v>
      </c>
      <c r="AP13" s="4">
        <f>Liste03[[#This Row],[Liste]]+Liste03[[#This Row],[Einzel]]</f>
        <v>0</v>
      </c>
      <c r="AR13" s="8"/>
      <c r="AS13" s="3"/>
      <c r="AT13" s="28"/>
      <c r="AU13" s="9" t="b">
        <f>AND((Liste04[[#This Row],[Wahl]]=0),LEN(Liste04[[#This Row],[Wahl]])=1)</f>
        <v>0</v>
      </c>
      <c r="AV13" s="9">
        <f t="array" ref="AV13">SUM((ROW(Liste04[Platz])&lt;=ROW())*(Liste04[Platz]=Liste04[[#This Row],[Platz]])*NOT(Liste04[IstGestrichen]))*NOT(Liste04[[#This Row],[IstGestrichen]])</f>
        <v>9</v>
      </c>
      <c r="AW13" s="9">
        <f t="array" ref="AW13">MIN(SUMIFS(Liste04[Wahl],Liste04[Platz],Liste04[[#This Row],[Platz]]),3)</f>
        <v>0</v>
      </c>
      <c r="AX13" s="9">
        <f>(Liste04[[#This Row],[Mult]]&gt;Liste04[[#This Row],[GülzST2]])*1*NOT(Liste04[[#This Row],[IstGestrichen]])</f>
        <v>1</v>
      </c>
      <c r="AY13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3" s="9">
        <f>IF(AND(NOT(ISBLANK(AR$3)),Liste04[[#This Row],[ListPotKum]]&lt;=Reststimmen),Liste04[[#This Row],[ListPot]],0)</f>
        <v>0</v>
      </c>
      <c r="BA13" s="4">
        <f>MIN(SUMIFS(Liste04[Wahl],Liste04[Platz],Liste04[[#This Row],[Platz]]),3)*(Liste04[[#This Row],[Mult]]=1)*StimmenzahlOk</f>
        <v>0</v>
      </c>
      <c r="BB13" s="4">
        <f>SUMIFS(Liste04[ListVerg],Liste04[Platz],Liste04[[#This Row],[Platz]])*(Liste04[[#This Row],[Mult]]=1)*ListenkreuzeOk</f>
        <v>0</v>
      </c>
      <c r="BC13" s="4">
        <f>Liste04[[#This Row],[Liste]]+Liste04[[#This Row],[Einzel]]</f>
        <v>0</v>
      </c>
      <c r="BE13" s="8"/>
      <c r="BF13" s="3">
        <v>509</v>
      </c>
      <c r="BG13" s="28" t="s">
        <v>433</v>
      </c>
      <c r="BH13" t="b">
        <f>AND((Liste05[[#This Row],[Wahl]]=0),LEN(Liste05[[#This Row],[Wahl]])=1)</f>
        <v>0</v>
      </c>
      <c r="BI13">
        <f t="array" ref="BI13">SUM((ROW(Liste05[Platz])&lt;=ROW())*(Liste05[Platz]=Liste05[[#This Row],[Platz]])*NOT(Liste05[IstGestrichen]))*NOT(Liste05[[#This Row],[IstGestrichen]])</f>
        <v>1</v>
      </c>
      <c r="BJ13">
        <f t="array" ref="BJ13">MIN(SUMIFS(Liste05[Wahl],Liste05[Platz],Liste05[[#This Row],[Platz]]),3)</f>
        <v>0</v>
      </c>
      <c r="BK13">
        <f>(Liste05[[#This Row],[Mult]]&gt;Liste05[[#This Row],[GülzST2]])*1*NOT(Liste05[[#This Row],[IstGestrichen]])</f>
        <v>1</v>
      </c>
      <c r="BL13">
        <f>SUMIFS(Liste05[ListPot],Liste05[Platz],Liste05[[#This Row],[Platz]],Liste05[Mult],"&lt;="&amp;Liste05[[#This Row],[Mult]])+SUMIFS(Liste05[ListPot],Liste05[Platz],"&lt;"&amp;Liste05[[#This Row],[Platz]])*Liste05[[#This Row],[ListPot]]</f>
        <v>9</v>
      </c>
      <c r="BM13">
        <f>IF(AND(NOT(ISBLANK(BE$3)),Liste05[[#This Row],[ListPotKum]]&lt;=Reststimmen),Liste05[[#This Row],[ListPot]],0)</f>
        <v>0</v>
      </c>
      <c r="BN13" s="4">
        <f>MIN(SUMIFS(Liste05[Wahl],Liste05[Platz],Liste05[[#This Row],[Platz]]),3)*(Liste05[[#This Row],[Mult]]=1)*StimmenzahlOk</f>
        <v>0</v>
      </c>
      <c r="BO13" s="4">
        <f>SUMIFS(Liste05[ListVerg],Liste05[Platz],Liste05[[#This Row],[Platz]])*(Liste05[[#This Row],[Mult]]=1)*ListenkreuzeOk</f>
        <v>0</v>
      </c>
      <c r="BP13" s="4">
        <f>Liste05[[#This Row],[Liste]]+Liste05[[#This Row],[Einzel]]</f>
        <v>0</v>
      </c>
      <c r="BR13" s="8"/>
      <c r="BS13" s="3"/>
      <c r="BT13" s="28"/>
      <c r="BU13" s="9" t="b">
        <f>AND((Liste06[[#This Row],[Spalte1]]=0),LEN(Liste06[[#This Row],[Spalte1]])=1)</f>
        <v>0</v>
      </c>
      <c r="BV13" s="9">
        <f t="array" ref="BV13">SUM((ROW(Liste06[Spalte2])&lt;=ROW())*(Liste06[Spalte2]=Liste06[[#This Row],[Spalte2]])*NOT(Liste06[IstGestrichen]))*NOT(Liste06[[#This Row],[IstGestrichen]])</f>
        <v>9</v>
      </c>
      <c r="BW13" s="9">
        <f t="array" ref="BW13">MIN(SUMIFS(Liste06[Spalte1],Liste06[Spalte2],Liste06[[#This Row],[Spalte2]]),3)</f>
        <v>0</v>
      </c>
      <c r="BX13" s="9">
        <f>(Liste06[[#This Row],[Mult]]&gt;Liste06[[#This Row],[GülzST2]])*1*NOT(Liste06[[#This Row],[IstGestrichen]])</f>
        <v>1</v>
      </c>
      <c r="BY13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3" s="14">
        <f>IF(AND(NOT(ISBLANK(BR$3)),Liste06[[#This Row],[ListPotKum]]&lt;=Reststimmen),Liste06[[#This Row],[ListPot]],0)</f>
        <v>0</v>
      </c>
      <c r="CA13" s="4">
        <f>MIN(SUMIFS(Liste06[Spalte1],Liste06[Spalte2],Liste06[[#This Row],[Spalte2]]),3)*(Liste06[[#This Row],[Mult]]=1)*StimmenzahlOk</f>
        <v>0</v>
      </c>
      <c r="CB13" s="15">
        <f>SUMIFS(Liste06[ListVerg],Liste06[Spalte2],Liste06[[#This Row],[Spalte2]])*(Liste06[[#This Row],[Mult]]=1)*ListenkreuzeOk</f>
        <v>0</v>
      </c>
      <c r="CC13" s="4">
        <f>Liste06[[#This Row],[Liste]]+Liste06[[#This Row],[Einzel]]</f>
        <v>0</v>
      </c>
      <c r="CE13" s="8"/>
      <c r="CF13" s="3">
        <v>709</v>
      </c>
      <c r="CG13" s="28" t="s">
        <v>483</v>
      </c>
      <c r="CH13" s="9" t="b">
        <f>AND((Liste07[[#This Row],[Wahl]]=0),LEN(Liste07[[#This Row],[Wahl]])=1)</f>
        <v>0</v>
      </c>
      <c r="CI13" s="9">
        <f t="array" ref="CI13">SUM((ROW(Liste07[Platz])&lt;=ROW())*(Liste07[Platz]=Liste07[[#This Row],[Platz]])*NOT(Liste07[IstGestrichen]))*NOT(Liste07[[#This Row],[IstGestrichen]])</f>
        <v>1</v>
      </c>
      <c r="CJ13" s="9">
        <f t="array" ref="CJ13">MIN(SUMIFS(Liste07[Wahl],Liste07[Platz],Liste07[[#This Row],[Platz]]),3)</f>
        <v>0</v>
      </c>
      <c r="CK13" s="9">
        <f>(Liste07[[#This Row],[Mult]]&gt;Liste07[[#This Row],[GülzST2]])*1*NOT(Liste07[[#This Row],[IstGestrichen]])</f>
        <v>1</v>
      </c>
      <c r="CL13" s="9">
        <f>SUMIFS(Liste07[ListPot],Liste07[Platz],Liste07[[#This Row],[Platz]],Liste07[Mult],"&lt;="&amp;Liste07[[#This Row],[Mult]])+SUMIFS(Liste07[ListPot],Liste07[Platz],"&lt;"&amp;Liste07[[#This Row],[Platz]])*Liste07[[#This Row],[ListPot]]</f>
        <v>9</v>
      </c>
      <c r="CM13" s="14">
        <f>IF(AND(NOT(ISBLANK(CE$3)),Liste07[[#This Row],[ListPotKum]]&lt;=Reststimmen),Liste07[[#This Row],[ListPot]],0)</f>
        <v>0</v>
      </c>
      <c r="CN13" s="4">
        <f>MIN(SUMIFS(Liste07[Wahl],Liste07[Platz],Liste07[[#This Row],[Platz]]),3)*(Liste07[[#This Row],[Mult]]=1)*StimmenzahlOk</f>
        <v>0</v>
      </c>
      <c r="CO13" s="15">
        <f>SUMIFS(Liste07[ListVerg],Liste07[Platz],Liste07[[#This Row],[Platz]])*(Liste07[[#This Row],[Mult]]=1)*ListenkreuzeOk</f>
        <v>0</v>
      </c>
      <c r="CP13" s="4">
        <f>Liste07[[#This Row],[Liste]]+Liste07[[#This Row],[Einzel]]</f>
        <v>0</v>
      </c>
      <c r="CR13" s="8"/>
      <c r="CS13" s="3">
        <v>809</v>
      </c>
      <c r="CT13" s="28" t="s">
        <v>534</v>
      </c>
      <c r="CU13" s="9" t="b">
        <f>AND((Liste08[[#This Row],[Wahl]]=0),LEN(Liste08[[#This Row],[Wahl]])=1)</f>
        <v>0</v>
      </c>
      <c r="CV13" s="9">
        <f t="array" ref="CV13">SUM((ROW(Liste08[Platz])&lt;=ROW())*(Liste08[Platz]=Liste08[[#This Row],[Platz]])*NOT(Liste08[IstGestrichen]))*NOT(Liste08[[#This Row],[IstGestrichen]])</f>
        <v>1</v>
      </c>
      <c r="CW13" s="9">
        <f t="array" ref="CW13">MIN(SUMIFS(Liste08[Wahl],Liste08[Platz],Liste08[[#This Row],[Platz]]),3)</f>
        <v>0</v>
      </c>
      <c r="CX13" s="9">
        <f>(Liste08[[#This Row],[Mult]]&gt;Liste08[[#This Row],[GülzST2]])*1*NOT(Liste08[[#This Row],[IstGestrichen]])</f>
        <v>1</v>
      </c>
      <c r="CY13" s="9">
        <f>SUMIFS(Liste08[ListPot],Liste08[Platz],Liste08[[#This Row],[Platz]],Liste08[Mult],"&lt;="&amp;Liste08[[#This Row],[Mult]])+SUMIFS(Liste08[ListPot],Liste08[Platz],"&lt;"&amp;Liste08[[#This Row],[Platz]])*Liste08[[#This Row],[ListPot]]</f>
        <v>9</v>
      </c>
      <c r="CZ13" s="14">
        <f>IF(AND(NOT(ISBLANK(CR$3)),Liste08[[#This Row],[ListPotKum]]&lt;=Reststimmen),Liste08[[#This Row],[ListPot]],0)</f>
        <v>0</v>
      </c>
      <c r="DA13" s="4">
        <f>MIN(SUMIFS(Liste08[Wahl],Liste08[Platz],Liste08[[#This Row],[Platz]]),3)*(Liste08[[#This Row],[Mult]]=1)*StimmenzahlOk</f>
        <v>0</v>
      </c>
      <c r="DB13" s="15">
        <f>SUMIFS(Liste08[ListVerg],Liste08[Platz],Liste08[[#This Row],[Platz]])*(Liste08[[#This Row],[Mult]]=1)*ListenkreuzeOk</f>
        <v>0</v>
      </c>
      <c r="DC13" s="4">
        <f>Liste08[[#This Row],[Liste]]+Liste08[[#This Row],[Einzel]]</f>
        <v>0</v>
      </c>
      <c r="DE13" s="8"/>
      <c r="DF13" s="3"/>
      <c r="DG13" s="28"/>
      <c r="DH13" s="9" t="b">
        <f>AND((Liste09[[#This Row],[Wahl]]=0),LEN(Liste09[[#This Row],[Wahl]])=1)</f>
        <v>0</v>
      </c>
      <c r="DI13" s="9">
        <f t="array" ref="DI13">SUM((ROW(Liste09[Platz])&lt;=ROW())*(Liste09[Platz]=Liste09[[#This Row],[Platz]])*NOT(Liste09[IstGestrichen]))*NOT(Liste09[[#This Row],[IstGestrichen]])</f>
        <v>9</v>
      </c>
      <c r="DJ13" s="9">
        <f t="array" ref="DJ13">MIN(SUMIFS(Liste09[Wahl],Liste09[Platz],Liste09[[#This Row],[Platz]]),3)</f>
        <v>0</v>
      </c>
      <c r="DK13" s="9">
        <f>(Liste09[[#This Row],[Mult]]&gt;Liste09[[#This Row],[GülzST2]])*1*NOT(Liste09[[#This Row],[IstGestrichen]])</f>
        <v>1</v>
      </c>
      <c r="DL13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3" s="14">
        <f>IF(AND(NOT(ISBLANK(DE$3)),Liste09[[#This Row],[ListPotKum]]&lt;=Reststimmen),Liste09[[#This Row],[ListPot]],0)</f>
        <v>0</v>
      </c>
      <c r="DN13" s="4">
        <f>MIN(SUMIFS(Liste09[Wahl],Liste09[Platz],Liste09[[#This Row],[Platz]]),3)*(Liste09[[#This Row],[Mult]]=1)*StimmenzahlOk</f>
        <v>0</v>
      </c>
      <c r="DO13" s="15">
        <f>SUMIFS(Liste09[ListVerg],Liste09[Platz],Liste09[[#This Row],[Platz]])*(Liste09[[#This Row],[Mult]]=1)*ListenkreuzeOk</f>
        <v>0</v>
      </c>
      <c r="DP13" s="4">
        <f>Liste09[[#This Row],[Liste]]+Liste09[[#This Row],[Einzel]]</f>
        <v>0</v>
      </c>
    </row>
    <row r="14" spans="1:131" ht="15.75" x14ac:dyDescent="0.25">
      <c r="A14" s="13" t="s">
        <v>26</v>
      </c>
      <c r="B14" s="22" t="b">
        <f>GueltigeStimmen&gt;0</f>
        <v>0</v>
      </c>
      <c r="E14" s="8"/>
      <c r="F14" s="3">
        <v>110</v>
      </c>
      <c r="G14" s="2" t="s">
        <v>282</v>
      </c>
      <c r="H14" t="b">
        <f>AND((Liste01[[#This Row],[Wahl]]=0),LEN(Liste01[[#This Row],[Wahl]])=1)</f>
        <v>0</v>
      </c>
      <c r="I14">
        <f t="array" ref="I14">SUM((ROW(Liste01[Platz])&lt;=ROW())*(Liste01[Platz]=Liste01[[#This Row],[Platz]])*NOT(Liste01[IstGestrichen]))*NOT(Liste01[[#This Row],[IstGestrichen]])</f>
        <v>1</v>
      </c>
      <c r="J14">
        <f t="array" ref="J14">MIN(SUMIFS(Liste01[Wahl],Liste01[Platz],Liste01[[#This Row],[Platz]]),3)</f>
        <v>0</v>
      </c>
      <c r="K14">
        <f>(Liste01[[#This Row],[Mult]]&gt;Liste01[[#This Row],[GülzST2]])*1*NOT(Liste01[[#This Row],[IstGestrichen]])</f>
        <v>1</v>
      </c>
      <c r="L14">
        <f>SUMIFS(Liste01[ListPot],Liste01[Platz],Liste01[[#This Row],[Platz]],Liste01[Mult],"&lt;="&amp;Liste01[[#This Row],[Mult]])+SUMIFS(Liste01[ListPot],Liste01[Platz],"&lt;"&amp;Liste01[[#This Row],[Platz]])*Liste01[[#This Row],[ListPot]]</f>
        <v>10</v>
      </c>
      <c r="M14">
        <f>IF(AND(NOT(ISBLANK(E$3)),Liste01[[#This Row],[ListPotKum]]&lt;=Reststimmen),Liste01[[#This Row],[ListPot]],0)</f>
        <v>0</v>
      </c>
      <c r="N14" s="4">
        <f>MIN(SUMIFS(Liste01[Wahl],Liste01[Platz],Liste01[[#This Row],[Platz]]),3)*(Liste01[[#This Row],[Mult]]=1)*StimmenzahlOk</f>
        <v>0</v>
      </c>
      <c r="O14" s="4">
        <f>SUMIFS(Liste01[ListVerg],Liste01[Platz],Liste01[[#This Row],[Platz]])*(Liste01[[#This Row],[Mult]]=1)*ListenkreuzeOk</f>
        <v>0</v>
      </c>
      <c r="P14" s="4">
        <f>Liste01[[#This Row],[Liste]]+Liste01[[#This Row],[Einzel]]</f>
        <v>0</v>
      </c>
      <c r="R14" s="8"/>
      <c r="S14" s="3">
        <v>210</v>
      </c>
      <c r="T14" s="28" t="s">
        <v>332</v>
      </c>
      <c r="U14" t="b">
        <f>AND((Liste02[[#This Row],[Wahl]]=0),LEN(Liste02[[#This Row],[Wahl]])=1)</f>
        <v>0</v>
      </c>
      <c r="V14">
        <f t="array" ref="V14">SUM((ROW(Liste02[Platz])&lt;=ROW())*(Liste02[Platz]=Liste02[[#This Row],[Platz]])*NOT(Liste02[IstGestrichen]))*NOT(Liste02[[#This Row],[IstGestrichen]])</f>
        <v>1</v>
      </c>
      <c r="W14">
        <f t="array" ref="W14">MIN(SUMIFS(Liste02[Wahl],Liste02[Platz],Liste02[[#This Row],[Platz]]),3)</f>
        <v>0</v>
      </c>
      <c r="X14">
        <f>(Liste02[[#This Row],[Mult]]&gt;Liste02[[#This Row],[GülzST2]])*1*NOT(Liste02[[#This Row],[IstGestrichen]])</f>
        <v>1</v>
      </c>
      <c r="Y14">
        <f>SUMIFS(Liste02[ListPot],Liste02[Platz],Liste02[[#This Row],[Platz]],Liste02[Mult],"&lt;="&amp;Liste02[[#This Row],[Mult]])+SUMIFS(Liste02[ListPot],Liste02[Platz],"&lt;"&amp;Liste02[[#This Row],[Platz]])*Liste02[[#This Row],[ListPot]]</f>
        <v>10</v>
      </c>
      <c r="Z14">
        <f>IF(AND(NOT(ISBLANK(R$3)),Liste02[[#This Row],[ListPotKum]]&lt;=Reststimmen),Liste02[[#This Row],[ListPot]],0)</f>
        <v>0</v>
      </c>
      <c r="AA14" s="4">
        <f>MIN(SUMIFS(Liste02[Wahl],Liste02[Platz],Liste02[[#This Row],[Platz]]),3)*(Liste02[[#This Row],[Mult]]=1)*StimmenzahlOk</f>
        <v>0</v>
      </c>
      <c r="AB14" s="4">
        <f>SUMIFS(Liste02[ListVerg],Liste02[Platz],Liste02[[#This Row],[Platz]])*(Liste02[[#This Row],[Mult]]=1)*ListenkreuzeOk</f>
        <v>0</v>
      </c>
      <c r="AC14" s="4">
        <f>Liste02[[#This Row],[Liste]]+Liste02[[#This Row],[Einzel]]</f>
        <v>0</v>
      </c>
      <c r="AE14" s="8"/>
      <c r="AF14" s="3">
        <v>310</v>
      </c>
      <c r="AG14" s="28" t="s">
        <v>382</v>
      </c>
      <c r="AH14" t="b">
        <f>AND((Liste03[[#This Row],[Wahl]]=0),LEN(Liste03[[#This Row],[Wahl]])=1)</f>
        <v>0</v>
      </c>
      <c r="AI14">
        <f t="array" ref="AI14">SUM((ROW(Liste03[Platz])&lt;=ROW())*(Liste03[Platz]=Liste03[[#This Row],[Platz]])*NOT(Liste03[IstGestrichen]))*NOT(Liste03[[#This Row],[IstGestrichen]])</f>
        <v>1</v>
      </c>
      <c r="AJ14">
        <f t="array" ref="AJ14">MIN(SUMIFS(Liste03[Wahl],Liste03[Platz],Liste03[[#This Row],[Platz]]),3)</f>
        <v>0</v>
      </c>
      <c r="AK14">
        <f>(Liste03[[#This Row],[Mult]]&gt;Liste03[[#This Row],[GülzST2]])*1*NOT(Liste03[[#This Row],[IstGestrichen]])</f>
        <v>1</v>
      </c>
      <c r="AL14">
        <f>SUMIFS(Liste03[ListPot],Liste03[Platz],Liste03[[#This Row],[Platz]],Liste03[Mult],"&lt;="&amp;Liste03[[#This Row],[Mult]])+SUMIFS(Liste03[ListPot],Liste03[Platz],"&lt;"&amp;Liste03[[#This Row],[Platz]])*Liste03[[#This Row],[ListPot]]</f>
        <v>10</v>
      </c>
      <c r="AM14">
        <f>IF(AND(NOT(ISBLANK(AE$3)),Liste03[[#This Row],[ListPotKum]]&lt;=Reststimmen),Liste03[[#This Row],[ListPot]],0)</f>
        <v>0</v>
      </c>
      <c r="AN14" s="4">
        <f>MIN(SUMIFS(Liste03[Wahl],Liste03[Platz],Liste03[[#This Row],[Platz]]),3)*(Liste03[[#This Row],[Mult]]=1)*StimmenzahlOk</f>
        <v>0</v>
      </c>
      <c r="AO14" s="4">
        <f>SUMIFS(Liste03[ListVerg],Liste03[Platz],Liste03[[#This Row],[Platz]])*(Liste03[[#This Row],[Mult]]=1)*ListenkreuzeOk</f>
        <v>0</v>
      </c>
      <c r="AP14" s="4">
        <f>Liste03[[#This Row],[Liste]]+Liste03[[#This Row],[Einzel]]</f>
        <v>0</v>
      </c>
      <c r="AR14" s="8"/>
      <c r="AS14" s="3"/>
      <c r="AT14" s="28"/>
      <c r="AU14" t="b">
        <f>AND((Liste04[[#This Row],[Wahl]]=0),LEN(Liste04[[#This Row],[Wahl]])=1)</f>
        <v>0</v>
      </c>
      <c r="AV14">
        <f t="array" ref="AV14">SUM((ROW(Liste04[Platz])&lt;=ROW())*(Liste04[Platz]=Liste04[[#This Row],[Platz]])*NOT(Liste04[IstGestrichen]))*NOT(Liste04[[#This Row],[IstGestrichen]])</f>
        <v>10</v>
      </c>
      <c r="AW14">
        <f t="array" ref="AW14">MIN(SUMIFS(Liste04[Wahl],Liste04[Platz],Liste04[[#This Row],[Platz]]),3)</f>
        <v>0</v>
      </c>
      <c r="AX14">
        <f>(Liste04[[#This Row],[Mult]]&gt;Liste04[[#This Row],[GülzST2]])*1*NOT(Liste04[[#This Row],[IstGestrichen]])</f>
        <v>1</v>
      </c>
      <c r="AY14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4">
        <f>IF(AND(NOT(ISBLANK(AR$3)),Liste04[[#This Row],[ListPotKum]]&lt;=Reststimmen),Liste04[[#This Row],[ListPot]],0)</f>
        <v>0</v>
      </c>
      <c r="BA14" s="4">
        <f>MIN(SUMIFS(Liste04[Wahl],Liste04[Platz],Liste04[[#This Row],[Platz]]),3)*(Liste04[[#This Row],[Mult]]=1)*StimmenzahlOk</f>
        <v>0</v>
      </c>
      <c r="BB14" s="4">
        <f>SUMIFS(Liste04[ListVerg],Liste04[Platz],Liste04[[#This Row],[Platz]])*(Liste04[[#This Row],[Mult]]=1)*ListenkreuzeOk</f>
        <v>0</v>
      </c>
      <c r="BC14" s="4">
        <f>Liste04[[#This Row],[Liste]]+Liste04[[#This Row],[Einzel]]</f>
        <v>0</v>
      </c>
      <c r="BE14" s="8"/>
      <c r="BF14" s="3">
        <v>510</v>
      </c>
      <c r="BG14" s="28" t="s">
        <v>434</v>
      </c>
      <c r="BH14" t="b">
        <f>AND((Liste05[[#This Row],[Wahl]]=0),LEN(Liste05[[#This Row],[Wahl]])=1)</f>
        <v>0</v>
      </c>
      <c r="BI14">
        <f t="array" ref="BI14">SUM((ROW(Liste05[Platz])&lt;=ROW())*(Liste05[Platz]=Liste05[[#This Row],[Platz]])*NOT(Liste05[IstGestrichen]))*NOT(Liste05[[#This Row],[IstGestrichen]])</f>
        <v>1</v>
      </c>
      <c r="BJ14">
        <f t="array" ref="BJ14">MIN(SUMIFS(Liste05[Wahl],Liste05[Platz],Liste05[[#This Row],[Platz]]),3)</f>
        <v>0</v>
      </c>
      <c r="BK14">
        <f>(Liste05[[#This Row],[Mult]]&gt;Liste05[[#This Row],[GülzST2]])*1*NOT(Liste05[[#This Row],[IstGestrichen]])</f>
        <v>1</v>
      </c>
      <c r="BL14">
        <f>SUMIFS(Liste05[ListPot],Liste05[Platz],Liste05[[#This Row],[Platz]],Liste05[Mult],"&lt;="&amp;Liste05[[#This Row],[Mult]])+SUMIFS(Liste05[ListPot],Liste05[Platz],"&lt;"&amp;Liste05[[#This Row],[Platz]])*Liste05[[#This Row],[ListPot]]</f>
        <v>10</v>
      </c>
      <c r="BM14">
        <f>IF(AND(NOT(ISBLANK(BE$3)),Liste05[[#This Row],[ListPotKum]]&lt;=Reststimmen),Liste05[[#This Row],[ListPot]],0)</f>
        <v>0</v>
      </c>
      <c r="BN14" s="4">
        <f>MIN(SUMIFS(Liste05[Wahl],Liste05[Platz],Liste05[[#This Row],[Platz]]),3)*(Liste05[[#This Row],[Mult]]=1)*StimmenzahlOk</f>
        <v>0</v>
      </c>
      <c r="BO14" s="4">
        <f>SUMIFS(Liste05[ListVerg],Liste05[Platz],Liste05[[#This Row],[Platz]])*(Liste05[[#This Row],[Mult]]=1)*ListenkreuzeOk</f>
        <v>0</v>
      </c>
      <c r="BP14" s="4">
        <f>Liste05[[#This Row],[Liste]]+Liste05[[#This Row],[Einzel]]</f>
        <v>0</v>
      </c>
      <c r="BR14" s="8"/>
      <c r="BS14" s="3"/>
      <c r="BT14" s="37"/>
      <c r="BU14" t="b">
        <f>AND((Liste06[[#This Row],[Spalte1]]=0),LEN(Liste06[[#This Row],[Spalte1]])=1)</f>
        <v>0</v>
      </c>
      <c r="BV14">
        <f t="array" ref="BV14">SUM((ROW(Liste06[Spalte2])&lt;=ROW())*(Liste06[Spalte2]=Liste06[[#This Row],[Spalte2]])*NOT(Liste06[IstGestrichen]))*NOT(Liste06[[#This Row],[IstGestrichen]])</f>
        <v>10</v>
      </c>
      <c r="BW14">
        <f t="array" ref="BW14">MIN(SUMIFS(Liste06[Spalte1],Liste06[Spalte2],Liste06[[#This Row],[Spalte2]]),3)</f>
        <v>0</v>
      </c>
      <c r="BX14">
        <f>(Liste06[[#This Row],[Mult]]&gt;Liste06[[#This Row],[GülzST2]])*1*NOT(Liste06[[#This Row],[IstGestrichen]])</f>
        <v>1</v>
      </c>
      <c r="BY14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4">
        <f>IF(AND(NOT(ISBLANK(BR$3)),Liste06[[#This Row],[ListPotKum]]&lt;=Reststimmen),Liste06[[#This Row],[ListPot]],0)</f>
        <v>0</v>
      </c>
      <c r="CA14" s="4">
        <f>MIN(SUMIFS(Liste06[Spalte1],Liste06[Spalte2],Liste06[[#This Row],[Spalte2]]),3)*(Liste06[[#This Row],[Mult]]=1)*StimmenzahlOk</f>
        <v>0</v>
      </c>
      <c r="CB14" s="4">
        <f>SUMIFS(Liste06[ListVerg],Liste06[Spalte2],Liste06[[#This Row],[Spalte2]])*(Liste06[[#This Row],[Mult]]=1)*ListenkreuzeOk</f>
        <v>0</v>
      </c>
      <c r="CC14" s="4">
        <f>Liste06[[#This Row],[Liste]]+Liste06[[#This Row],[Einzel]]</f>
        <v>0</v>
      </c>
      <c r="CE14" s="8"/>
      <c r="CF14" s="3">
        <v>710</v>
      </c>
      <c r="CG14" s="28" t="s">
        <v>484</v>
      </c>
      <c r="CH14" t="b">
        <f>AND((Liste07[[#This Row],[Wahl]]=0),LEN(Liste07[[#This Row],[Wahl]])=1)</f>
        <v>0</v>
      </c>
      <c r="CI14">
        <f t="array" ref="CI14">SUM((ROW(Liste07[Platz])&lt;=ROW())*(Liste07[Platz]=Liste07[[#This Row],[Platz]])*NOT(Liste07[IstGestrichen]))*NOT(Liste07[[#This Row],[IstGestrichen]])</f>
        <v>1</v>
      </c>
      <c r="CJ14">
        <f t="array" ref="CJ14">MIN(SUMIFS(Liste07[Wahl],Liste07[Platz],Liste07[[#This Row],[Platz]]),3)</f>
        <v>0</v>
      </c>
      <c r="CK14">
        <f>(Liste07[[#This Row],[Mult]]&gt;Liste07[[#This Row],[GülzST2]])*1*NOT(Liste07[[#This Row],[IstGestrichen]])</f>
        <v>1</v>
      </c>
      <c r="CL14">
        <f>SUMIFS(Liste07[ListPot],Liste07[Platz],Liste07[[#This Row],[Platz]],Liste07[Mult],"&lt;="&amp;Liste07[[#This Row],[Mult]])+SUMIFS(Liste07[ListPot],Liste07[Platz],"&lt;"&amp;Liste07[[#This Row],[Platz]])*Liste07[[#This Row],[ListPot]]</f>
        <v>10</v>
      </c>
      <c r="CM14">
        <f>IF(AND(NOT(ISBLANK(CE$3)),Liste07[[#This Row],[ListPotKum]]&lt;=Reststimmen),Liste07[[#This Row],[ListPot]],0)</f>
        <v>0</v>
      </c>
      <c r="CN14" s="4">
        <f>MIN(SUMIFS(Liste07[Wahl],Liste07[Platz],Liste07[[#This Row],[Platz]]),3)*(Liste07[[#This Row],[Mult]]=1)*StimmenzahlOk</f>
        <v>0</v>
      </c>
      <c r="CO14" s="4">
        <f>SUMIFS(Liste07[ListVerg],Liste07[Platz],Liste07[[#This Row],[Platz]])*(Liste07[[#This Row],[Mult]]=1)*ListenkreuzeOk</f>
        <v>0</v>
      </c>
      <c r="CP14" s="4">
        <f>Liste07[[#This Row],[Liste]]+Liste07[[#This Row],[Einzel]]</f>
        <v>0</v>
      </c>
      <c r="CR14" s="8"/>
      <c r="CS14" s="3">
        <v>810</v>
      </c>
      <c r="CT14" s="28" t="s">
        <v>535</v>
      </c>
      <c r="CU14" t="b">
        <f>AND((Liste08[[#This Row],[Wahl]]=0),LEN(Liste08[[#This Row],[Wahl]])=1)</f>
        <v>0</v>
      </c>
      <c r="CV14">
        <f t="array" ref="CV14">SUM((ROW(Liste08[Platz])&lt;=ROW())*(Liste08[Platz]=Liste08[[#This Row],[Platz]])*NOT(Liste08[IstGestrichen]))*NOT(Liste08[[#This Row],[IstGestrichen]])</f>
        <v>1</v>
      </c>
      <c r="CW14">
        <f t="array" ref="CW14">MIN(SUMIFS(Liste08[Wahl],Liste08[Platz],Liste08[[#This Row],[Platz]]),3)</f>
        <v>0</v>
      </c>
      <c r="CX14">
        <f>(Liste08[[#This Row],[Mult]]&gt;Liste08[[#This Row],[GülzST2]])*1*NOT(Liste08[[#This Row],[IstGestrichen]])</f>
        <v>1</v>
      </c>
      <c r="CY14">
        <f>SUMIFS(Liste08[ListPot],Liste08[Platz],Liste08[[#This Row],[Platz]],Liste08[Mult],"&lt;="&amp;Liste08[[#This Row],[Mult]])+SUMIFS(Liste08[ListPot],Liste08[Platz],"&lt;"&amp;Liste08[[#This Row],[Platz]])*Liste08[[#This Row],[ListPot]]</f>
        <v>10</v>
      </c>
      <c r="CZ14">
        <f>IF(AND(NOT(ISBLANK(CR$3)),Liste08[[#This Row],[ListPotKum]]&lt;=Reststimmen),Liste08[[#This Row],[ListPot]],0)</f>
        <v>0</v>
      </c>
      <c r="DA14" s="4">
        <f>MIN(SUMIFS(Liste08[Wahl],Liste08[Platz],Liste08[[#This Row],[Platz]]),3)*(Liste08[[#This Row],[Mult]]=1)*StimmenzahlOk</f>
        <v>0</v>
      </c>
      <c r="DB14" s="4">
        <f>SUMIFS(Liste08[ListVerg],Liste08[Platz],Liste08[[#This Row],[Platz]])*(Liste08[[#This Row],[Mult]]=1)*ListenkreuzeOk</f>
        <v>0</v>
      </c>
      <c r="DC14" s="4">
        <f>Liste08[[#This Row],[Liste]]+Liste08[[#This Row],[Einzel]]</f>
        <v>0</v>
      </c>
      <c r="DE14" s="8"/>
      <c r="DF14" s="3"/>
      <c r="DG14" s="28"/>
      <c r="DH14" t="b">
        <f>AND((Liste09[[#This Row],[Wahl]]=0),LEN(Liste09[[#This Row],[Wahl]])=1)</f>
        <v>0</v>
      </c>
      <c r="DI14">
        <f t="array" ref="DI14">SUM((ROW(Liste09[Platz])&lt;=ROW())*(Liste09[Platz]=Liste09[[#This Row],[Platz]])*NOT(Liste09[IstGestrichen]))*NOT(Liste09[[#This Row],[IstGestrichen]])</f>
        <v>10</v>
      </c>
      <c r="DJ14">
        <f t="array" ref="DJ14">MIN(SUMIFS(Liste09[Wahl],Liste09[Platz],Liste09[[#This Row],[Platz]]),3)</f>
        <v>0</v>
      </c>
      <c r="DK14">
        <f>(Liste09[[#This Row],[Mult]]&gt;Liste09[[#This Row],[GülzST2]])*1*NOT(Liste09[[#This Row],[IstGestrichen]])</f>
        <v>1</v>
      </c>
      <c r="DL14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4">
        <f>IF(AND(NOT(ISBLANK(DE$3)),Liste09[[#This Row],[ListPotKum]]&lt;=Reststimmen),Liste09[[#This Row],[ListPot]],0)</f>
        <v>0</v>
      </c>
      <c r="DN14" s="4">
        <f>MIN(SUMIFS(Liste09[Wahl],Liste09[Platz],Liste09[[#This Row],[Platz]]),3)*(Liste09[[#This Row],[Mult]]=1)*StimmenzahlOk</f>
        <v>0</v>
      </c>
      <c r="DO14" s="4">
        <f>SUMIFS(Liste09[ListVerg],Liste09[Platz],Liste09[[#This Row],[Platz]])*(Liste09[[#This Row],[Mult]]=1)*ListenkreuzeOk</f>
        <v>0</v>
      </c>
      <c r="DP14" s="4">
        <f>Liste09[[#This Row],[Liste]]+Liste09[[#This Row],[Einzel]]</f>
        <v>0</v>
      </c>
    </row>
    <row r="15" spans="1:131" ht="15.75" x14ac:dyDescent="0.25">
      <c r="A15" s="17"/>
      <c r="B15" s="17"/>
      <c r="E15" s="8"/>
      <c r="F15" s="3">
        <v>111</v>
      </c>
      <c r="G15" s="2" t="s">
        <v>283</v>
      </c>
      <c r="H15" t="b">
        <f>AND((Liste01[[#This Row],[Wahl]]=0),LEN(Liste01[[#This Row],[Wahl]])=1)</f>
        <v>0</v>
      </c>
      <c r="I15">
        <f t="array" ref="I15">SUM((ROW(Liste01[Platz])&lt;=ROW())*(Liste01[Platz]=Liste01[[#This Row],[Platz]])*NOT(Liste01[IstGestrichen]))*NOT(Liste01[[#This Row],[IstGestrichen]])</f>
        <v>1</v>
      </c>
      <c r="J15">
        <f t="array" ref="J15">MIN(SUMIFS(Liste01[Wahl],Liste01[Platz],Liste01[[#This Row],[Platz]]),3)</f>
        <v>0</v>
      </c>
      <c r="K15">
        <f>(Liste01[[#This Row],[Mult]]&gt;Liste01[[#This Row],[GülzST2]])*1*NOT(Liste01[[#This Row],[IstGestrichen]])</f>
        <v>1</v>
      </c>
      <c r="L15">
        <f>SUMIFS(Liste01[ListPot],Liste01[Platz],Liste01[[#This Row],[Platz]],Liste01[Mult],"&lt;="&amp;Liste01[[#This Row],[Mult]])+SUMIFS(Liste01[ListPot],Liste01[Platz],"&lt;"&amp;Liste01[[#This Row],[Platz]])*Liste01[[#This Row],[ListPot]]</f>
        <v>11</v>
      </c>
      <c r="M15">
        <f>IF(AND(NOT(ISBLANK(E$3)),Liste01[[#This Row],[ListPotKum]]&lt;=Reststimmen),Liste01[[#This Row],[ListPot]],0)</f>
        <v>0</v>
      </c>
      <c r="N15" s="4">
        <f>MIN(SUMIFS(Liste01[Wahl],Liste01[Platz],Liste01[[#This Row],[Platz]]),3)*(Liste01[[#This Row],[Mult]]=1)*StimmenzahlOk</f>
        <v>0</v>
      </c>
      <c r="O15" s="4">
        <f>SUMIFS(Liste01[ListVerg],Liste01[Platz],Liste01[[#This Row],[Platz]])*(Liste01[[#This Row],[Mult]]=1)*ListenkreuzeOk</f>
        <v>0</v>
      </c>
      <c r="P15" s="4">
        <f>Liste01[[#This Row],[Liste]]+Liste01[[#This Row],[Einzel]]</f>
        <v>0</v>
      </c>
      <c r="R15" s="8"/>
      <c r="S15" s="3">
        <v>211</v>
      </c>
      <c r="T15" s="28" t="s">
        <v>333</v>
      </c>
      <c r="U15" t="b">
        <f>AND((Liste02[[#This Row],[Wahl]]=0),LEN(Liste02[[#This Row],[Wahl]])=1)</f>
        <v>0</v>
      </c>
      <c r="V15">
        <f t="array" ref="V15">SUM((ROW(Liste02[Platz])&lt;=ROW())*(Liste02[Platz]=Liste02[[#This Row],[Platz]])*NOT(Liste02[IstGestrichen]))*NOT(Liste02[[#This Row],[IstGestrichen]])</f>
        <v>1</v>
      </c>
      <c r="W15">
        <f t="array" ref="W15">MIN(SUMIFS(Liste02[Wahl],Liste02[Platz],Liste02[[#This Row],[Platz]]),3)</f>
        <v>0</v>
      </c>
      <c r="X15">
        <f>(Liste02[[#This Row],[Mult]]&gt;Liste02[[#This Row],[GülzST2]])*1*NOT(Liste02[[#This Row],[IstGestrichen]])</f>
        <v>1</v>
      </c>
      <c r="Y15">
        <f>SUMIFS(Liste02[ListPot],Liste02[Platz],Liste02[[#This Row],[Platz]],Liste02[Mult],"&lt;="&amp;Liste02[[#This Row],[Mult]])+SUMIFS(Liste02[ListPot],Liste02[Platz],"&lt;"&amp;Liste02[[#This Row],[Platz]])*Liste02[[#This Row],[ListPot]]</f>
        <v>11</v>
      </c>
      <c r="Z15">
        <f>IF(AND(NOT(ISBLANK(R$3)),Liste02[[#This Row],[ListPotKum]]&lt;=Reststimmen),Liste02[[#This Row],[ListPot]],0)</f>
        <v>0</v>
      </c>
      <c r="AA15" s="4">
        <f>MIN(SUMIFS(Liste02[Wahl],Liste02[Platz],Liste02[[#This Row],[Platz]]),3)*(Liste02[[#This Row],[Mult]]=1)*StimmenzahlOk</f>
        <v>0</v>
      </c>
      <c r="AB15" s="4">
        <f>SUMIFS(Liste02[ListVerg],Liste02[Platz],Liste02[[#This Row],[Platz]])*(Liste02[[#This Row],[Mult]]=1)*ListenkreuzeOk</f>
        <v>0</v>
      </c>
      <c r="AC15" s="4">
        <f>Liste02[[#This Row],[Liste]]+Liste02[[#This Row],[Einzel]]</f>
        <v>0</v>
      </c>
      <c r="AE15" s="8"/>
      <c r="AF15" s="3">
        <v>311</v>
      </c>
      <c r="AG15" s="28" t="s">
        <v>383</v>
      </c>
      <c r="AH15" t="b">
        <f>AND((Liste03[[#This Row],[Wahl]]=0),LEN(Liste03[[#This Row],[Wahl]])=1)</f>
        <v>0</v>
      </c>
      <c r="AI15">
        <f t="array" ref="AI15">SUM((ROW(Liste03[Platz])&lt;=ROW())*(Liste03[Platz]=Liste03[[#This Row],[Platz]])*NOT(Liste03[IstGestrichen]))*NOT(Liste03[[#This Row],[IstGestrichen]])</f>
        <v>1</v>
      </c>
      <c r="AJ15">
        <f t="array" ref="AJ15">MIN(SUMIFS(Liste03[Wahl],Liste03[Platz],Liste03[[#This Row],[Platz]]),3)</f>
        <v>0</v>
      </c>
      <c r="AK15">
        <f>(Liste03[[#This Row],[Mult]]&gt;Liste03[[#This Row],[GülzST2]])*1*NOT(Liste03[[#This Row],[IstGestrichen]])</f>
        <v>1</v>
      </c>
      <c r="AL15">
        <f>SUMIFS(Liste03[ListPot],Liste03[Platz],Liste03[[#This Row],[Platz]],Liste03[Mult],"&lt;="&amp;Liste03[[#This Row],[Mult]])+SUMIFS(Liste03[ListPot],Liste03[Platz],"&lt;"&amp;Liste03[[#This Row],[Platz]])*Liste03[[#This Row],[ListPot]]</f>
        <v>11</v>
      </c>
      <c r="AM15">
        <f>IF(AND(NOT(ISBLANK(AE$3)),Liste03[[#This Row],[ListPotKum]]&lt;=Reststimmen),Liste03[[#This Row],[ListPot]],0)</f>
        <v>0</v>
      </c>
      <c r="AN15" s="4">
        <f>MIN(SUMIFS(Liste03[Wahl],Liste03[Platz],Liste03[[#This Row],[Platz]]),3)*(Liste03[[#This Row],[Mult]]=1)*StimmenzahlOk</f>
        <v>0</v>
      </c>
      <c r="AO15" s="4">
        <f>SUMIFS(Liste03[ListVerg],Liste03[Platz],Liste03[[#This Row],[Platz]])*(Liste03[[#This Row],[Mult]]=1)*ListenkreuzeOk</f>
        <v>0</v>
      </c>
      <c r="AP15" s="4">
        <f>Liste03[[#This Row],[Liste]]+Liste03[[#This Row],[Einzel]]</f>
        <v>0</v>
      </c>
      <c r="AR15" s="8"/>
      <c r="AS15" s="3"/>
      <c r="AT15" s="28"/>
      <c r="AU15" t="b">
        <f>AND((Liste04[[#This Row],[Wahl]]=0),LEN(Liste04[[#This Row],[Wahl]])=1)</f>
        <v>0</v>
      </c>
      <c r="AV15">
        <f t="array" ref="AV15">SUM((ROW(Liste04[Platz])&lt;=ROW())*(Liste04[Platz]=Liste04[[#This Row],[Platz]])*NOT(Liste04[IstGestrichen]))*NOT(Liste04[[#This Row],[IstGestrichen]])</f>
        <v>11</v>
      </c>
      <c r="AW15">
        <f t="array" ref="AW15">MIN(SUMIFS(Liste04[Wahl],Liste04[Platz],Liste04[[#This Row],[Platz]]),3)</f>
        <v>0</v>
      </c>
      <c r="AX15">
        <f>(Liste04[[#This Row],[Mult]]&gt;Liste04[[#This Row],[GülzST2]])*1*NOT(Liste04[[#This Row],[IstGestrichen]])</f>
        <v>1</v>
      </c>
      <c r="AY15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5">
        <f>IF(AND(NOT(ISBLANK(AR$3)),Liste04[[#This Row],[ListPotKum]]&lt;=Reststimmen),Liste04[[#This Row],[ListPot]],0)</f>
        <v>0</v>
      </c>
      <c r="BA15" s="4">
        <f>MIN(SUMIFS(Liste04[Wahl],Liste04[Platz],Liste04[[#This Row],[Platz]]),3)*(Liste04[[#This Row],[Mult]]=1)*StimmenzahlOk</f>
        <v>0</v>
      </c>
      <c r="BB15" s="4">
        <f>SUMIFS(Liste04[ListVerg],Liste04[Platz],Liste04[[#This Row],[Platz]])*(Liste04[[#This Row],[Mult]]=1)*ListenkreuzeOk</f>
        <v>0</v>
      </c>
      <c r="BC15" s="4">
        <f>Liste04[[#This Row],[Liste]]+Liste04[[#This Row],[Einzel]]</f>
        <v>0</v>
      </c>
      <c r="BE15" s="8"/>
      <c r="BF15" s="3">
        <v>511</v>
      </c>
      <c r="BG15" s="28" t="s">
        <v>435</v>
      </c>
      <c r="BH15" t="b">
        <f>AND((Liste05[[#This Row],[Wahl]]=0),LEN(Liste05[[#This Row],[Wahl]])=1)</f>
        <v>0</v>
      </c>
      <c r="BI15">
        <f t="array" ref="BI15">SUM((ROW(Liste05[Platz])&lt;=ROW())*(Liste05[Platz]=Liste05[[#This Row],[Platz]])*NOT(Liste05[IstGestrichen]))*NOT(Liste05[[#This Row],[IstGestrichen]])</f>
        <v>1</v>
      </c>
      <c r="BJ15">
        <f t="array" ref="BJ15">MIN(SUMIFS(Liste05[Wahl],Liste05[Platz],Liste05[[#This Row],[Platz]]),3)</f>
        <v>0</v>
      </c>
      <c r="BK15">
        <f>(Liste05[[#This Row],[Mult]]&gt;Liste05[[#This Row],[GülzST2]])*1*NOT(Liste05[[#This Row],[IstGestrichen]])</f>
        <v>1</v>
      </c>
      <c r="BL15">
        <f>SUMIFS(Liste05[ListPot],Liste05[Platz],Liste05[[#This Row],[Platz]],Liste05[Mult],"&lt;="&amp;Liste05[[#This Row],[Mult]])+SUMIFS(Liste05[ListPot],Liste05[Platz],"&lt;"&amp;Liste05[[#This Row],[Platz]])*Liste05[[#This Row],[ListPot]]</f>
        <v>11</v>
      </c>
      <c r="BM15">
        <f>IF(AND(NOT(ISBLANK(BE$3)),Liste05[[#This Row],[ListPotKum]]&lt;=Reststimmen),Liste05[[#This Row],[ListPot]],0)</f>
        <v>0</v>
      </c>
      <c r="BN15" s="4">
        <f>MIN(SUMIFS(Liste05[Wahl],Liste05[Platz],Liste05[[#This Row],[Platz]]),3)*(Liste05[[#This Row],[Mult]]=1)*StimmenzahlOk</f>
        <v>0</v>
      </c>
      <c r="BO15" s="4">
        <f>SUMIFS(Liste05[ListVerg],Liste05[Platz],Liste05[[#This Row],[Platz]])*(Liste05[[#This Row],[Mult]]=1)*ListenkreuzeOk</f>
        <v>0</v>
      </c>
      <c r="BP15" s="4">
        <f>Liste05[[#This Row],[Liste]]+Liste05[[#This Row],[Einzel]]</f>
        <v>0</v>
      </c>
      <c r="BR15" s="8"/>
      <c r="BS15" s="3"/>
      <c r="BT15" s="28"/>
      <c r="BU15" t="b">
        <f>AND((Liste06[[#This Row],[Spalte1]]=0),LEN(Liste06[[#This Row],[Spalte1]])=1)</f>
        <v>0</v>
      </c>
      <c r="BV15">
        <f t="array" ref="BV15">SUM((ROW(Liste06[Spalte2])&lt;=ROW())*(Liste06[Spalte2]=Liste06[[#This Row],[Spalte2]])*NOT(Liste06[IstGestrichen]))*NOT(Liste06[[#This Row],[IstGestrichen]])</f>
        <v>11</v>
      </c>
      <c r="BW15">
        <f t="array" ref="BW15">MIN(SUMIFS(Liste06[Spalte1],Liste06[Spalte2],Liste06[[#This Row],[Spalte2]]),3)</f>
        <v>0</v>
      </c>
      <c r="BX15">
        <f>(Liste06[[#This Row],[Mult]]&gt;Liste06[[#This Row],[GülzST2]])*1*NOT(Liste06[[#This Row],[IstGestrichen]])</f>
        <v>1</v>
      </c>
      <c r="BY15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5">
        <f>IF(AND(NOT(ISBLANK(BR$3)),Liste06[[#This Row],[ListPotKum]]&lt;=Reststimmen),Liste06[[#This Row],[ListPot]],0)</f>
        <v>0</v>
      </c>
      <c r="CA15" s="4">
        <f>MIN(SUMIFS(Liste06[Spalte1],Liste06[Spalte2],Liste06[[#This Row],[Spalte2]]),3)*(Liste06[[#This Row],[Mult]]=1)*StimmenzahlOk</f>
        <v>0</v>
      </c>
      <c r="CB15" s="4">
        <f>SUMIFS(Liste06[ListVerg],Liste06[Spalte2],Liste06[[#This Row],[Spalte2]])*(Liste06[[#This Row],[Mult]]=1)*ListenkreuzeOk</f>
        <v>0</v>
      </c>
      <c r="CC15" s="4">
        <f>Liste06[[#This Row],[Liste]]+Liste06[[#This Row],[Einzel]]</f>
        <v>0</v>
      </c>
      <c r="CE15" s="8"/>
      <c r="CF15" s="3">
        <v>711</v>
      </c>
      <c r="CG15" s="28" t="s">
        <v>485</v>
      </c>
      <c r="CH15" t="b">
        <f>AND((Liste07[[#This Row],[Wahl]]=0),LEN(Liste07[[#This Row],[Wahl]])=1)</f>
        <v>0</v>
      </c>
      <c r="CI15">
        <f t="array" ref="CI15">SUM((ROW(Liste07[Platz])&lt;=ROW())*(Liste07[Platz]=Liste07[[#This Row],[Platz]])*NOT(Liste07[IstGestrichen]))*NOT(Liste07[[#This Row],[IstGestrichen]])</f>
        <v>1</v>
      </c>
      <c r="CJ15">
        <f t="array" ref="CJ15">MIN(SUMIFS(Liste07[Wahl],Liste07[Platz],Liste07[[#This Row],[Platz]]),3)</f>
        <v>0</v>
      </c>
      <c r="CK15">
        <f>(Liste07[[#This Row],[Mult]]&gt;Liste07[[#This Row],[GülzST2]])*1*NOT(Liste07[[#This Row],[IstGestrichen]])</f>
        <v>1</v>
      </c>
      <c r="CL15">
        <f>SUMIFS(Liste07[ListPot],Liste07[Platz],Liste07[[#This Row],[Platz]],Liste07[Mult],"&lt;="&amp;Liste07[[#This Row],[Mult]])+SUMIFS(Liste07[ListPot],Liste07[Platz],"&lt;"&amp;Liste07[[#This Row],[Platz]])*Liste07[[#This Row],[ListPot]]</f>
        <v>11</v>
      </c>
      <c r="CM15">
        <f>IF(AND(NOT(ISBLANK(CE$3)),Liste07[[#This Row],[ListPotKum]]&lt;=Reststimmen),Liste07[[#This Row],[ListPot]],0)</f>
        <v>0</v>
      </c>
      <c r="CN15" s="4">
        <f>MIN(SUMIFS(Liste07[Wahl],Liste07[Platz],Liste07[[#This Row],[Platz]]),3)*(Liste07[[#This Row],[Mult]]=1)*StimmenzahlOk</f>
        <v>0</v>
      </c>
      <c r="CO15" s="4">
        <f>SUMIFS(Liste07[ListVerg],Liste07[Platz],Liste07[[#This Row],[Platz]])*(Liste07[[#This Row],[Mult]]=1)*ListenkreuzeOk</f>
        <v>0</v>
      </c>
      <c r="CP15" s="4">
        <f>Liste07[[#This Row],[Liste]]+Liste07[[#This Row],[Einzel]]</f>
        <v>0</v>
      </c>
      <c r="CR15" s="8"/>
      <c r="CS15" s="3">
        <v>811</v>
      </c>
      <c r="CT15" s="28" t="s">
        <v>536</v>
      </c>
      <c r="CU15" t="b">
        <f>AND((Liste08[[#This Row],[Wahl]]=0),LEN(Liste08[[#This Row],[Wahl]])=1)</f>
        <v>0</v>
      </c>
      <c r="CV15">
        <f t="array" ref="CV15">SUM((ROW(Liste08[Platz])&lt;=ROW())*(Liste08[Platz]=Liste08[[#This Row],[Platz]])*NOT(Liste08[IstGestrichen]))*NOT(Liste08[[#This Row],[IstGestrichen]])</f>
        <v>1</v>
      </c>
      <c r="CW15">
        <f t="array" ref="CW15">MIN(SUMIFS(Liste08[Wahl],Liste08[Platz],Liste08[[#This Row],[Platz]]),3)</f>
        <v>0</v>
      </c>
      <c r="CX15">
        <f>(Liste08[[#This Row],[Mult]]&gt;Liste08[[#This Row],[GülzST2]])*1*NOT(Liste08[[#This Row],[IstGestrichen]])</f>
        <v>1</v>
      </c>
      <c r="CY15">
        <f>SUMIFS(Liste08[ListPot],Liste08[Platz],Liste08[[#This Row],[Platz]],Liste08[Mult],"&lt;="&amp;Liste08[[#This Row],[Mult]])+SUMIFS(Liste08[ListPot],Liste08[Platz],"&lt;"&amp;Liste08[[#This Row],[Platz]])*Liste08[[#This Row],[ListPot]]</f>
        <v>11</v>
      </c>
      <c r="CZ15">
        <f>IF(AND(NOT(ISBLANK(CR$3)),Liste08[[#This Row],[ListPotKum]]&lt;=Reststimmen),Liste08[[#This Row],[ListPot]],0)</f>
        <v>0</v>
      </c>
      <c r="DA15" s="4">
        <f>MIN(SUMIFS(Liste08[Wahl],Liste08[Platz],Liste08[[#This Row],[Platz]]),3)*(Liste08[[#This Row],[Mult]]=1)*StimmenzahlOk</f>
        <v>0</v>
      </c>
      <c r="DB15" s="4">
        <f>SUMIFS(Liste08[ListVerg],Liste08[Platz],Liste08[[#This Row],[Platz]])*(Liste08[[#This Row],[Mult]]=1)*ListenkreuzeOk</f>
        <v>0</v>
      </c>
      <c r="DC15" s="4">
        <f>Liste08[[#This Row],[Liste]]+Liste08[[#This Row],[Einzel]]</f>
        <v>0</v>
      </c>
      <c r="DE15" s="8"/>
      <c r="DF15" s="3"/>
      <c r="DG15" s="28"/>
      <c r="DH15" t="b">
        <f>AND((Liste09[[#This Row],[Wahl]]=0),LEN(Liste09[[#This Row],[Wahl]])=1)</f>
        <v>0</v>
      </c>
      <c r="DI15">
        <f t="array" ref="DI15">SUM((ROW(Liste09[Platz])&lt;=ROW())*(Liste09[Platz]=Liste09[[#This Row],[Platz]])*NOT(Liste09[IstGestrichen]))*NOT(Liste09[[#This Row],[IstGestrichen]])</f>
        <v>11</v>
      </c>
      <c r="DJ15">
        <f t="array" ref="DJ15">MIN(SUMIFS(Liste09[Wahl],Liste09[Platz],Liste09[[#This Row],[Platz]]),3)</f>
        <v>0</v>
      </c>
      <c r="DK15">
        <f>(Liste09[[#This Row],[Mult]]&gt;Liste09[[#This Row],[GülzST2]])*1*NOT(Liste09[[#This Row],[IstGestrichen]])</f>
        <v>1</v>
      </c>
      <c r="DL15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5">
        <f>IF(AND(NOT(ISBLANK(DE$3)),Liste09[[#This Row],[ListPotKum]]&lt;=Reststimmen),Liste09[[#This Row],[ListPot]],0)</f>
        <v>0</v>
      </c>
      <c r="DN15" s="4">
        <f>MIN(SUMIFS(Liste09[Wahl],Liste09[Platz],Liste09[[#This Row],[Platz]]),3)*(Liste09[[#This Row],[Mult]]=1)*StimmenzahlOk</f>
        <v>0</v>
      </c>
      <c r="DO15" s="4">
        <f>SUMIFS(Liste09[ListVerg],Liste09[Platz],Liste09[[#This Row],[Platz]])*(Liste09[[#This Row],[Mult]]=1)*ListenkreuzeOk</f>
        <v>0</v>
      </c>
      <c r="DP15" s="4">
        <f>Liste09[[#This Row],[Liste]]+Liste09[[#This Row],[Einzel]]</f>
        <v>0</v>
      </c>
    </row>
    <row r="16" spans="1:131" ht="15.75" x14ac:dyDescent="0.25">
      <c r="A16" s="39" t="s">
        <v>18</v>
      </c>
      <c r="B16" s="17"/>
      <c r="E16" s="8"/>
      <c r="F16" s="3">
        <v>112</v>
      </c>
      <c r="G16" s="2" t="s">
        <v>284</v>
      </c>
      <c r="H16" t="b">
        <f>AND((Liste01[[#This Row],[Wahl]]=0),LEN(Liste01[[#This Row],[Wahl]])=1)</f>
        <v>0</v>
      </c>
      <c r="I16">
        <f t="array" ref="I16">SUM((ROW(Liste01[Platz])&lt;=ROW())*(Liste01[Platz]=Liste01[[#This Row],[Platz]])*NOT(Liste01[IstGestrichen]))*NOT(Liste01[[#This Row],[IstGestrichen]])</f>
        <v>1</v>
      </c>
      <c r="J16">
        <f t="array" ref="J16">MIN(SUMIFS(Liste01[Wahl],Liste01[Platz],Liste01[[#This Row],[Platz]]),3)</f>
        <v>0</v>
      </c>
      <c r="K16">
        <f>(Liste01[[#This Row],[Mult]]&gt;Liste01[[#This Row],[GülzST2]])*1*NOT(Liste01[[#This Row],[IstGestrichen]])</f>
        <v>1</v>
      </c>
      <c r="L16">
        <f>SUMIFS(Liste01[ListPot],Liste01[Platz],Liste01[[#This Row],[Platz]],Liste01[Mult],"&lt;="&amp;Liste01[[#This Row],[Mult]])+SUMIFS(Liste01[ListPot],Liste01[Platz],"&lt;"&amp;Liste01[[#This Row],[Platz]])*Liste01[[#This Row],[ListPot]]</f>
        <v>12</v>
      </c>
      <c r="M16">
        <f>IF(AND(NOT(ISBLANK(E$3)),Liste01[[#This Row],[ListPotKum]]&lt;=Reststimmen),Liste01[[#This Row],[ListPot]],0)</f>
        <v>0</v>
      </c>
      <c r="N16" s="4">
        <f>MIN(SUMIFS(Liste01[Wahl],Liste01[Platz],Liste01[[#This Row],[Platz]]),3)*(Liste01[[#This Row],[Mult]]=1)*StimmenzahlOk</f>
        <v>0</v>
      </c>
      <c r="O16" s="4">
        <f>SUMIFS(Liste01[ListVerg],Liste01[Platz],Liste01[[#This Row],[Platz]])*(Liste01[[#This Row],[Mult]]=1)*ListenkreuzeOk</f>
        <v>0</v>
      </c>
      <c r="P16" s="4">
        <f>Liste01[[#This Row],[Liste]]+Liste01[[#This Row],[Einzel]]</f>
        <v>0</v>
      </c>
      <c r="R16" s="8"/>
      <c r="S16" s="3">
        <v>212</v>
      </c>
      <c r="T16" s="28" t="s">
        <v>334</v>
      </c>
      <c r="U16" t="b">
        <f>AND((Liste02[[#This Row],[Wahl]]=0),LEN(Liste02[[#This Row],[Wahl]])=1)</f>
        <v>0</v>
      </c>
      <c r="V16">
        <f t="array" ref="V16">SUM((ROW(Liste02[Platz])&lt;=ROW())*(Liste02[Platz]=Liste02[[#This Row],[Platz]])*NOT(Liste02[IstGestrichen]))*NOT(Liste02[[#This Row],[IstGestrichen]])</f>
        <v>1</v>
      </c>
      <c r="W16">
        <f t="array" ref="W16">MIN(SUMIFS(Liste02[Wahl],Liste02[Platz],Liste02[[#This Row],[Platz]]),3)</f>
        <v>0</v>
      </c>
      <c r="X16">
        <f>(Liste02[[#This Row],[Mult]]&gt;Liste02[[#This Row],[GülzST2]])*1*NOT(Liste02[[#This Row],[IstGestrichen]])</f>
        <v>1</v>
      </c>
      <c r="Y16">
        <f>SUMIFS(Liste02[ListPot],Liste02[Platz],Liste02[[#This Row],[Platz]],Liste02[Mult],"&lt;="&amp;Liste02[[#This Row],[Mult]])+SUMIFS(Liste02[ListPot],Liste02[Platz],"&lt;"&amp;Liste02[[#This Row],[Platz]])*Liste02[[#This Row],[ListPot]]</f>
        <v>12</v>
      </c>
      <c r="Z16">
        <f>IF(AND(NOT(ISBLANK(R$3)),Liste02[[#This Row],[ListPotKum]]&lt;=Reststimmen),Liste02[[#This Row],[ListPot]],0)</f>
        <v>0</v>
      </c>
      <c r="AA16" s="4">
        <f>MIN(SUMIFS(Liste02[Wahl],Liste02[Platz],Liste02[[#This Row],[Platz]]),3)*(Liste02[[#This Row],[Mult]]=1)*StimmenzahlOk</f>
        <v>0</v>
      </c>
      <c r="AB16" s="4">
        <f>SUMIFS(Liste02[ListVerg],Liste02[Platz],Liste02[[#This Row],[Platz]])*(Liste02[[#This Row],[Mult]]=1)*ListenkreuzeOk</f>
        <v>0</v>
      </c>
      <c r="AC16" s="4">
        <f>Liste02[[#This Row],[Liste]]+Liste02[[#This Row],[Einzel]]</f>
        <v>0</v>
      </c>
      <c r="AE16" s="8"/>
      <c r="AF16" s="3">
        <v>312</v>
      </c>
      <c r="AG16" s="28" t="s">
        <v>384</v>
      </c>
      <c r="AH16" t="b">
        <f>AND((Liste03[[#This Row],[Wahl]]=0),LEN(Liste03[[#This Row],[Wahl]])=1)</f>
        <v>0</v>
      </c>
      <c r="AI16">
        <f t="array" ref="AI16">SUM((ROW(Liste03[Platz])&lt;=ROW())*(Liste03[Platz]=Liste03[[#This Row],[Platz]])*NOT(Liste03[IstGestrichen]))*NOT(Liste03[[#This Row],[IstGestrichen]])</f>
        <v>1</v>
      </c>
      <c r="AJ16">
        <f t="array" ref="AJ16">MIN(SUMIFS(Liste03[Wahl],Liste03[Platz],Liste03[[#This Row],[Platz]]),3)</f>
        <v>0</v>
      </c>
      <c r="AK16">
        <f>(Liste03[[#This Row],[Mult]]&gt;Liste03[[#This Row],[GülzST2]])*1*NOT(Liste03[[#This Row],[IstGestrichen]])</f>
        <v>1</v>
      </c>
      <c r="AL16">
        <f>SUMIFS(Liste03[ListPot],Liste03[Platz],Liste03[[#This Row],[Platz]],Liste03[Mult],"&lt;="&amp;Liste03[[#This Row],[Mult]])+SUMIFS(Liste03[ListPot],Liste03[Platz],"&lt;"&amp;Liste03[[#This Row],[Platz]])*Liste03[[#This Row],[ListPot]]</f>
        <v>12</v>
      </c>
      <c r="AM16">
        <f>IF(AND(NOT(ISBLANK(AE$3)),Liste03[[#This Row],[ListPotKum]]&lt;=Reststimmen),Liste03[[#This Row],[ListPot]],0)</f>
        <v>0</v>
      </c>
      <c r="AN16" s="4">
        <f>MIN(SUMIFS(Liste03[Wahl],Liste03[Platz],Liste03[[#This Row],[Platz]]),3)*(Liste03[[#This Row],[Mult]]=1)*StimmenzahlOk</f>
        <v>0</v>
      </c>
      <c r="AO16" s="4">
        <f>SUMIFS(Liste03[ListVerg],Liste03[Platz],Liste03[[#This Row],[Platz]])*(Liste03[[#This Row],[Mult]]=1)*ListenkreuzeOk</f>
        <v>0</v>
      </c>
      <c r="AP16" s="4">
        <f>Liste03[[#This Row],[Liste]]+Liste03[[#This Row],[Einzel]]</f>
        <v>0</v>
      </c>
      <c r="AR16" s="8"/>
      <c r="AS16" s="3"/>
      <c r="AT16" s="28"/>
      <c r="AU16" s="9" t="b">
        <f>AND((Liste04[[#This Row],[Wahl]]=0),LEN(Liste04[[#This Row],[Wahl]])=1)</f>
        <v>0</v>
      </c>
      <c r="AV16" s="9">
        <f t="array" ref="AV16">SUM((ROW(Liste04[Platz])&lt;=ROW())*(Liste04[Platz]=Liste04[[#This Row],[Platz]])*NOT(Liste04[IstGestrichen]))*NOT(Liste04[[#This Row],[IstGestrichen]])</f>
        <v>12</v>
      </c>
      <c r="AW16" s="9">
        <f t="array" ref="AW16">MIN(SUMIFS(Liste04[Wahl],Liste04[Platz],Liste04[[#This Row],[Platz]]),3)</f>
        <v>0</v>
      </c>
      <c r="AX16" s="9">
        <f>(Liste04[[#This Row],[Mult]]&gt;Liste04[[#This Row],[GülzST2]])*1*NOT(Liste04[[#This Row],[IstGestrichen]])</f>
        <v>1</v>
      </c>
      <c r="AY16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6" s="9">
        <f>IF(AND(NOT(ISBLANK(AR$3)),Liste04[[#This Row],[ListPotKum]]&lt;=Reststimmen),Liste04[[#This Row],[ListPot]],0)</f>
        <v>0</v>
      </c>
      <c r="BA16" s="4">
        <f>MIN(SUMIFS(Liste04[Wahl],Liste04[Platz],Liste04[[#This Row],[Platz]]),3)*(Liste04[[#This Row],[Mult]]=1)*StimmenzahlOk</f>
        <v>0</v>
      </c>
      <c r="BB16" s="4">
        <f>SUMIFS(Liste04[ListVerg],Liste04[Platz],Liste04[[#This Row],[Platz]])*(Liste04[[#This Row],[Mult]]=1)*ListenkreuzeOk</f>
        <v>0</v>
      </c>
      <c r="BC16" s="4">
        <f>Liste04[[#This Row],[Liste]]+Liste04[[#This Row],[Einzel]]</f>
        <v>0</v>
      </c>
      <c r="BE16" s="8"/>
      <c r="BF16" s="3">
        <v>512</v>
      </c>
      <c r="BG16" s="28" t="s">
        <v>436</v>
      </c>
      <c r="BH16" t="b">
        <f>AND((Liste05[[#This Row],[Wahl]]=0),LEN(Liste05[[#This Row],[Wahl]])=1)</f>
        <v>0</v>
      </c>
      <c r="BI16">
        <f t="array" ref="BI16">SUM((ROW(Liste05[Platz])&lt;=ROW())*(Liste05[Platz]=Liste05[[#This Row],[Platz]])*NOT(Liste05[IstGestrichen]))*NOT(Liste05[[#This Row],[IstGestrichen]])</f>
        <v>1</v>
      </c>
      <c r="BJ16">
        <f t="array" ref="BJ16">MIN(SUMIFS(Liste05[Wahl],Liste05[Platz],Liste05[[#This Row],[Platz]]),3)</f>
        <v>0</v>
      </c>
      <c r="BK16">
        <f>(Liste05[[#This Row],[Mult]]&gt;Liste05[[#This Row],[GülzST2]])*1*NOT(Liste05[[#This Row],[IstGestrichen]])</f>
        <v>1</v>
      </c>
      <c r="BL16">
        <f>SUMIFS(Liste05[ListPot],Liste05[Platz],Liste05[[#This Row],[Platz]],Liste05[Mult],"&lt;="&amp;Liste05[[#This Row],[Mult]])+SUMIFS(Liste05[ListPot],Liste05[Platz],"&lt;"&amp;Liste05[[#This Row],[Platz]])*Liste05[[#This Row],[ListPot]]</f>
        <v>12</v>
      </c>
      <c r="BM16">
        <f>IF(AND(NOT(ISBLANK(BE$3)),Liste05[[#This Row],[ListPotKum]]&lt;=Reststimmen),Liste05[[#This Row],[ListPot]],0)</f>
        <v>0</v>
      </c>
      <c r="BN16" s="4">
        <f>MIN(SUMIFS(Liste05[Wahl],Liste05[Platz],Liste05[[#This Row],[Platz]]),3)*(Liste05[[#This Row],[Mult]]=1)*StimmenzahlOk</f>
        <v>0</v>
      </c>
      <c r="BO16" s="4">
        <f>SUMIFS(Liste05[ListVerg],Liste05[Platz],Liste05[[#This Row],[Platz]])*(Liste05[[#This Row],[Mult]]=1)*ListenkreuzeOk</f>
        <v>0</v>
      </c>
      <c r="BP16" s="4">
        <f>Liste05[[#This Row],[Liste]]+Liste05[[#This Row],[Einzel]]</f>
        <v>0</v>
      </c>
      <c r="BR16" s="8"/>
      <c r="BS16" s="3"/>
      <c r="BT16" s="28"/>
      <c r="BU16" s="9" t="b">
        <f>AND((Liste06[[#This Row],[Spalte1]]=0),LEN(Liste06[[#This Row],[Spalte1]])=1)</f>
        <v>0</v>
      </c>
      <c r="BV16" s="9">
        <f t="array" ref="BV16">SUM((ROW(Liste06[Spalte2])&lt;=ROW())*(Liste06[Spalte2]=Liste06[[#This Row],[Spalte2]])*NOT(Liste06[IstGestrichen]))*NOT(Liste06[[#This Row],[IstGestrichen]])</f>
        <v>12</v>
      </c>
      <c r="BW16" s="9">
        <f t="array" ref="BW16">MIN(SUMIFS(Liste06[Spalte1],Liste06[Spalte2],Liste06[[#This Row],[Spalte2]]),3)</f>
        <v>0</v>
      </c>
      <c r="BX16" s="9">
        <f>(Liste06[[#This Row],[Mult]]&gt;Liste06[[#This Row],[GülzST2]])*1*NOT(Liste06[[#This Row],[IstGestrichen]])</f>
        <v>1</v>
      </c>
      <c r="BY16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6" s="14">
        <f>IF(AND(NOT(ISBLANK(BR$3)),Liste06[[#This Row],[ListPotKum]]&lt;=Reststimmen),Liste06[[#This Row],[ListPot]],0)</f>
        <v>0</v>
      </c>
      <c r="CA16" s="4">
        <f>MIN(SUMIFS(Liste06[Spalte1],Liste06[Spalte2],Liste06[[#This Row],[Spalte2]]),3)*(Liste06[[#This Row],[Mult]]=1)*StimmenzahlOk</f>
        <v>0</v>
      </c>
      <c r="CB16" s="15">
        <f>SUMIFS(Liste06[ListVerg],Liste06[Spalte2],Liste06[[#This Row],[Spalte2]])*(Liste06[[#This Row],[Mult]]=1)*ListenkreuzeOk</f>
        <v>0</v>
      </c>
      <c r="CC16" s="4">
        <f>Liste06[[#This Row],[Liste]]+Liste06[[#This Row],[Einzel]]</f>
        <v>0</v>
      </c>
      <c r="CE16" s="8"/>
      <c r="CF16" s="3">
        <v>712</v>
      </c>
      <c r="CG16" s="28" t="s">
        <v>486</v>
      </c>
      <c r="CH16" s="9" t="b">
        <f>AND((Liste07[[#This Row],[Wahl]]=0),LEN(Liste07[[#This Row],[Wahl]])=1)</f>
        <v>0</v>
      </c>
      <c r="CI16" s="9">
        <f t="array" ref="CI16">SUM((ROW(Liste07[Platz])&lt;=ROW())*(Liste07[Platz]=Liste07[[#This Row],[Platz]])*NOT(Liste07[IstGestrichen]))*NOT(Liste07[[#This Row],[IstGestrichen]])</f>
        <v>1</v>
      </c>
      <c r="CJ16" s="9">
        <f t="array" ref="CJ16">MIN(SUMIFS(Liste07[Wahl],Liste07[Platz],Liste07[[#This Row],[Platz]]),3)</f>
        <v>0</v>
      </c>
      <c r="CK16" s="9">
        <f>(Liste07[[#This Row],[Mult]]&gt;Liste07[[#This Row],[GülzST2]])*1*NOT(Liste07[[#This Row],[IstGestrichen]])</f>
        <v>1</v>
      </c>
      <c r="CL16" s="9">
        <f>SUMIFS(Liste07[ListPot],Liste07[Platz],Liste07[[#This Row],[Platz]],Liste07[Mult],"&lt;="&amp;Liste07[[#This Row],[Mult]])+SUMIFS(Liste07[ListPot],Liste07[Platz],"&lt;"&amp;Liste07[[#This Row],[Platz]])*Liste07[[#This Row],[ListPot]]</f>
        <v>12</v>
      </c>
      <c r="CM16" s="14">
        <f>IF(AND(NOT(ISBLANK(CE$3)),Liste07[[#This Row],[ListPotKum]]&lt;=Reststimmen),Liste07[[#This Row],[ListPot]],0)</f>
        <v>0</v>
      </c>
      <c r="CN16" s="4">
        <f>MIN(SUMIFS(Liste07[Wahl],Liste07[Platz],Liste07[[#This Row],[Platz]]),3)*(Liste07[[#This Row],[Mult]]=1)*StimmenzahlOk</f>
        <v>0</v>
      </c>
      <c r="CO16" s="15">
        <f>SUMIFS(Liste07[ListVerg],Liste07[Platz],Liste07[[#This Row],[Platz]])*(Liste07[[#This Row],[Mult]]=1)*ListenkreuzeOk</f>
        <v>0</v>
      </c>
      <c r="CP16" s="4">
        <f>Liste07[[#This Row],[Liste]]+Liste07[[#This Row],[Einzel]]</f>
        <v>0</v>
      </c>
      <c r="CR16" s="8"/>
      <c r="CS16" s="3">
        <v>812</v>
      </c>
      <c r="CT16" s="28" t="s">
        <v>537</v>
      </c>
      <c r="CU16" s="9" t="b">
        <f>AND((Liste08[[#This Row],[Wahl]]=0),LEN(Liste08[[#This Row],[Wahl]])=1)</f>
        <v>0</v>
      </c>
      <c r="CV16" s="9">
        <f t="array" ref="CV16">SUM((ROW(Liste08[Platz])&lt;=ROW())*(Liste08[Platz]=Liste08[[#This Row],[Platz]])*NOT(Liste08[IstGestrichen]))*NOT(Liste08[[#This Row],[IstGestrichen]])</f>
        <v>1</v>
      </c>
      <c r="CW16" s="9">
        <f t="array" ref="CW16">MIN(SUMIFS(Liste08[Wahl],Liste08[Platz],Liste08[[#This Row],[Platz]]),3)</f>
        <v>0</v>
      </c>
      <c r="CX16" s="9">
        <f>(Liste08[[#This Row],[Mult]]&gt;Liste08[[#This Row],[GülzST2]])*1*NOT(Liste08[[#This Row],[IstGestrichen]])</f>
        <v>1</v>
      </c>
      <c r="CY16" s="9">
        <f>SUMIFS(Liste08[ListPot],Liste08[Platz],Liste08[[#This Row],[Platz]],Liste08[Mult],"&lt;="&amp;Liste08[[#This Row],[Mult]])+SUMIFS(Liste08[ListPot],Liste08[Platz],"&lt;"&amp;Liste08[[#This Row],[Platz]])*Liste08[[#This Row],[ListPot]]</f>
        <v>12</v>
      </c>
      <c r="CZ16" s="14">
        <f>IF(AND(NOT(ISBLANK(CR$3)),Liste08[[#This Row],[ListPotKum]]&lt;=Reststimmen),Liste08[[#This Row],[ListPot]],0)</f>
        <v>0</v>
      </c>
      <c r="DA16" s="4">
        <f>MIN(SUMIFS(Liste08[Wahl],Liste08[Platz],Liste08[[#This Row],[Platz]]),3)*(Liste08[[#This Row],[Mult]]=1)*StimmenzahlOk</f>
        <v>0</v>
      </c>
      <c r="DB16" s="15">
        <f>SUMIFS(Liste08[ListVerg],Liste08[Platz],Liste08[[#This Row],[Platz]])*(Liste08[[#This Row],[Mult]]=1)*ListenkreuzeOk</f>
        <v>0</v>
      </c>
      <c r="DC16" s="4">
        <f>Liste08[[#This Row],[Liste]]+Liste08[[#This Row],[Einzel]]</f>
        <v>0</v>
      </c>
      <c r="DE16" s="8"/>
      <c r="DF16" s="3"/>
      <c r="DG16" s="28"/>
      <c r="DH16" s="9" t="b">
        <f>AND((Liste09[[#This Row],[Wahl]]=0),LEN(Liste09[[#This Row],[Wahl]])=1)</f>
        <v>0</v>
      </c>
      <c r="DI16" s="9">
        <f t="array" ref="DI16">SUM((ROW(Liste09[Platz])&lt;=ROW())*(Liste09[Platz]=Liste09[[#This Row],[Platz]])*NOT(Liste09[IstGestrichen]))*NOT(Liste09[[#This Row],[IstGestrichen]])</f>
        <v>12</v>
      </c>
      <c r="DJ16" s="9">
        <f t="array" ref="DJ16">MIN(SUMIFS(Liste09[Wahl],Liste09[Platz],Liste09[[#This Row],[Platz]]),3)</f>
        <v>0</v>
      </c>
      <c r="DK16" s="9">
        <f>(Liste09[[#This Row],[Mult]]&gt;Liste09[[#This Row],[GülzST2]])*1*NOT(Liste09[[#This Row],[IstGestrichen]])</f>
        <v>1</v>
      </c>
      <c r="DL16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6" s="14">
        <f>IF(AND(NOT(ISBLANK(DE$3)),Liste09[[#This Row],[ListPotKum]]&lt;=Reststimmen),Liste09[[#This Row],[ListPot]],0)</f>
        <v>0</v>
      </c>
      <c r="DN16" s="4">
        <f>MIN(SUMIFS(Liste09[Wahl],Liste09[Platz],Liste09[[#This Row],[Platz]]),3)*(Liste09[[#This Row],[Mult]]=1)*StimmenzahlOk</f>
        <v>0</v>
      </c>
      <c r="DO16" s="15">
        <f>SUMIFS(Liste09[ListVerg],Liste09[Platz],Liste09[[#This Row],[Platz]])*(Liste09[[#This Row],[Mult]]=1)*ListenkreuzeOk</f>
        <v>0</v>
      </c>
      <c r="DP16" s="4">
        <f>Liste09[[#This Row],[Liste]]+Liste09[[#This Row],[Einzel]]</f>
        <v>0</v>
      </c>
    </row>
    <row r="17" spans="1:120" ht="15.75" x14ac:dyDescent="0.25">
      <c r="A17" s="40" t="s">
        <v>262</v>
      </c>
      <c r="B17" s="17"/>
      <c r="E17" s="8"/>
      <c r="F17" s="3">
        <v>113</v>
      </c>
      <c r="G17" s="2" t="s">
        <v>285</v>
      </c>
      <c r="H17" t="b">
        <f>AND((Liste01[[#This Row],[Wahl]]=0),LEN(Liste01[[#This Row],[Wahl]])=1)</f>
        <v>0</v>
      </c>
      <c r="I17">
        <f t="array" ref="I17">SUM((ROW(Liste01[Platz])&lt;=ROW())*(Liste01[Platz]=Liste01[[#This Row],[Platz]])*NOT(Liste01[IstGestrichen]))*NOT(Liste01[[#This Row],[IstGestrichen]])</f>
        <v>1</v>
      </c>
      <c r="J17">
        <f t="array" ref="J17">MIN(SUMIFS(Liste01[Wahl],Liste01[Platz],Liste01[[#This Row],[Platz]]),3)</f>
        <v>0</v>
      </c>
      <c r="K17">
        <f>(Liste01[[#This Row],[Mult]]&gt;Liste01[[#This Row],[GülzST2]])*1*NOT(Liste01[[#This Row],[IstGestrichen]])</f>
        <v>1</v>
      </c>
      <c r="L17">
        <f>SUMIFS(Liste01[ListPot],Liste01[Platz],Liste01[[#This Row],[Platz]],Liste01[Mult],"&lt;="&amp;Liste01[[#This Row],[Mult]])+SUMIFS(Liste01[ListPot],Liste01[Platz],"&lt;"&amp;Liste01[[#This Row],[Platz]])*Liste01[[#This Row],[ListPot]]</f>
        <v>13</v>
      </c>
      <c r="M17">
        <f>IF(AND(NOT(ISBLANK(E$3)),Liste01[[#This Row],[ListPotKum]]&lt;=Reststimmen),Liste01[[#This Row],[ListPot]],0)</f>
        <v>0</v>
      </c>
      <c r="N17" s="4">
        <f>MIN(SUMIFS(Liste01[Wahl],Liste01[Platz],Liste01[[#This Row],[Platz]]),3)*(Liste01[[#This Row],[Mult]]=1)*StimmenzahlOk</f>
        <v>0</v>
      </c>
      <c r="O17" s="4">
        <f>SUMIFS(Liste01[ListVerg],Liste01[Platz],Liste01[[#This Row],[Platz]])*(Liste01[[#This Row],[Mult]]=1)*ListenkreuzeOk</f>
        <v>0</v>
      </c>
      <c r="P17" s="4">
        <f>Liste01[[#This Row],[Liste]]+Liste01[[#This Row],[Einzel]]</f>
        <v>0</v>
      </c>
      <c r="R17" s="8"/>
      <c r="S17" s="3">
        <v>213</v>
      </c>
      <c r="T17" s="28" t="s">
        <v>335</v>
      </c>
      <c r="U17" t="b">
        <f>AND((Liste02[[#This Row],[Wahl]]=0),LEN(Liste02[[#This Row],[Wahl]])=1)</f>
        <v>0</v>
      </c>
      <c r="V17">
        <f t="array" ref="V17">SUM((ROW(Liste02[Platz])&lt;=ROW())*(Liste02[Platz]=Liste02[[#This Row],[Platz]])*NOT(Liste02[IstGestrichen]))*NOT(Liste02[[#This Row],[IstGestrichen]])</f>
        <v>1</v>
      </c>
      <c r="W17">
        <f t="array" ref="W17">MIN(SUMIFS(Liste02[Wahl],Liste02[Platz],Liste02[[#This Row],[Platz]]),3)</f>
        <v>0</v>
      </c>
      <c r="X17">
        <f>(Liste02[[#This Row],[Mult]]&gt;Liste02[[#This Row],[GülzST2]])*1*NOT(Liste02[[#This Row],[IstGestrichen]])</f>
        <v>1</v>
      </c>
      <c r="Y17">
        <f>SUMIFS(Liste02[ListPot],Liste02[Platz],Liste02[[#This Row],[Platz]],Liste02[Mult],"&lt;="&amp;Liste02[[#This Row],[Mult]])+SUMIFS(Liste02[ListPot],Liste02[Platz],"&lt;"&amp;Liste02[[#This Row],[Platz]])*Liste02[[#This Row],[ListPot]]</f>
        <v>13</v>
      </c>
      <c r="Z17">
        <f>IF(AND(NOT(ISBLANK(R$3)),Liste02[[#This Row],[ListPotKum]]&lt;=Reststimmen),Liste02[[#This Row],[ListPot]],0)</f>
        <v>0</v>
      </c>
      <c r="AA17" s="4">
        <f>MIN(SUMIFS(Liste02[Wahl],Liste02[Platz],Liste02[[#This Row],[Platz]]),3)*(Liste02[[#This Row],[Mult]]=1)*StimmenzahlOk</f>
        <v>0</v>
      </c>
      <c r="AB17" s="4">
        <f>SUMIFS(Liste02[ListVerg],Liste02[Platz],Liste02[[#This Row],[Platz]])*(Liste02[[#This Row],[Mult]]=1)*ListenkreuzeOk</f>
        <v>0</v>
      </c>
      <c r="AC17" s="4">
        <f>Liste02[[#This Row],[Liste]]+Liste02[[#This Row],[Einzel]]</f>
        <v>0</v>
      </c>
      <c r="AE17" s="8"/>
      <c r="AF17" s="3">
        <v>313</v>
      </c>
      <c r="AG17" s="28" t="s">
        <v>385</v>
      </c>
      <c r="AH17" t="b">
        <f>AND((Liste03[[#This Row],[Wahl]]=0),LEN(Liste03[[#This Row],[Wahl]])=1)</f>
        <v>0</v>
      </c>
      <c r="AI17">
        <f t="array" ref="AI17">SUM((ROW(Liste03[Platz])&lt;=ROW())*(Liste03[Platz]=Liste03[[#This Row],[Platz]])*NOT(Liste03[IstGestrichen]))*NOT(Liste03[[#This Row],[IstGestrichen]])</f>
        <v>1</v>
      </c>
      <c r="AJ17">
        <f t="array" ref="AJ17">MIN(SUMIFS(Liste03[Wahl],Liste03[Platz],Liste03[[#This Row],[Platz]]),3)</f>
        <v>0</v>
      </c>
      <c r="AK17">
        <f>(Liste03[[#This Row],[Mult]]&gt;Liste03[[#This Row],[GülzST2]])*1*NOT(Liste03[[#This Row],[IstGestrichen]])</f>
        <v>1</v>
      </c>
      <c r="AL17">
        <f>SUMIFS(Liste03[ListPot],Liste03[Platz],Liste03[[#This Row],[Platz]],Liste03[Mult],"&lt;="&amp;Liste03[[#This Row],[Mult]])+SUMIFS(Liste03[ListPot],Liste03[Platz],"&lt;"&amp;Liste03[[#This Row],[Platz]])*Liste03[[#This Row],[ListPot]]</f>
        <v>13</v>
      </c>
      <c r="AM17">
        <f>IF(AND(NOT(ISBLANK(AE$3)),Liste03[[#This Row],[ListPotKum]]&lt;=Reststimmen),Liste03[[#This Row],[ListPot]],0)</f>
        <v>0</v>
      </c>
      <c r="AN17" s="4">
        <f>MIN(SUMIFS(Liste03[Wahl],Liste03[Platz],Liste03[[#This Row],[Platz]]),3)*(Liste03[[#This Row],[Mult]]=1)*StimmenzahlOk</f>
        <v>0</v>
      </c>
      <c r="AO17" s="4">
        <f>SUMIFS(Liste03[ListVerg],Liste03[Platz],Liste03[[#This Row],[Platz]])*(Liste03[[#This Row],[Mult]]=1)*ListenkreuzeOk</f>
        <v>0</v>
      </c>
      <c r="AP17" s="4">
        <f>Liste03[[#This Row],[Liste]]+Liste03[[#This Row],[Einzel]]</f>
        <v>0</v>
      </c>
      <c r="AR17" s="8"/>
      <c r="AS17" s="3"/>
      <c r="AT17" s="28"/>
      <c r="AU17" t="b">
        <f>AND((Liste04[[#This Row],[Wahl]]=0),LEN(Liste04[[#This Row],[Wahl]])=1)</f>
        <v>0</v>
      </c>
      <c r="AV17">
        <f t="array" ref="AV17">SUM((ROW(Liste04[Platz])&lt;=ROW())*(Liste04[Platz]=Liste04[[#This Row],[Platz]])*NOT(Liste04[IstGestrichen]))*NOT(Liste04[[#This Row],[IstGestrichen]])</f>
        <v>13</v>
      </c>
      <c r="AW17">
        <f t="array" ref="AW17">MIN(SUMIFS(Liste04[Wahl],Liste04[Platz],Liste04[[#This Row],[Platz]]),3)</f>
        <v>0</v>
      </c>
      <c r="AX17">
        <f>(Liste04[[#This Row],[Mult]]&gt;Liste04[[#This Row],[GülzST2]])*1*NOT(Liste04[[#This Row],[IstGestrichen]])</f>
        <v>1</v>
      </c>
      <c r="AY17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7">
        <f>IF(AND(NOT(ISBLANK(AR$3)),Liste04[[#This Row],[ListPotKum]]&lt;=Reststimmen),Liste04[[#This Row],[ListPot]],0)</f>
        <v>0</v>
      </c>
      <c r="BA17" s="4">
        <f>MIN(SUMIFS(Liste04[Wahl],Liste04[Platz],Liste04[[#This Row],[Platz]]),3)*(Liste04[[#This Row],[Mult]]=1)*StimmenzahlOk</f>
        <v>0</v>
      </c>
      <c r="BB17" s="4">
        <f>SUMIFS(Liste04[ListVerg],Liste04[Platz],Liste04[[#This Row],[Platz]])*(Liste04[[#This Row],[Mult]]=1)*ListenkreuzeOk</f>
        <v>0</v>
      </c>
      <c r="BC17" s="4">
        <f>Liste04[[#This Row],[Liste]]+Liste04[[#This Row],[Einzel]]</f>
        <v>0</v>
      </c>
      <c r="BE17" s="8"/>
      <c r="BF17" s="3">
        <v>513</v>
      </c>
      <c r="BG17" s="28" t="s">
        <v>437</v>
      </c>
      <c r="BH17" t="b">
        <f>AND((Liste05[[#This Row],[Wahl]]=0),LEN(Liste05[[#This Row],[Wahl]])=1)</f>
        <v>0</v>
      </c>
      <c r="BI17">
        <f t="array" ref="BI17">SUM((ROW(Liste05[Platz])&lt;=ROW())*(Liste05[Platz]=Liste05[[#This Row],[Platz]])*NOT(Liste05[IstGestrichen]))*NOT(Liste05[[#This Row],[IstGestrichen]])</f>
        <v>1</v>
      </c>
      <c r="BJ17">
        <f t="array" ref="BJ17">MIN(SUMIFS(Liste05[Wahl],Liste05[Platz],Liste05[[#This Row],[Platz]]),3)</f>
        <v>0</v>
      </c>
      <c r="BK17">
        <f>(Liste05[[#This Row],[Mult]]&gt;Liste05[[#This Row],[GülzST2]])*1*NOT(Liste05[[#This Row],[IstGestrichen]])</f>
        <v>1</v>
      </c>
      <c r="BL17">
        <f>SUMIFS(Liste05[ListPot],Liste05[Platz],Liste05[[#This Row],[Platz]],Liste05[Mult],"&lt;="&amp;Liste05[[#This Row],[Mult]])+SUMIFS(Liste05[ListPot],Liste05[Platz],"&lt;"&amp;Liste05[[#This Row],[Platz]])*Liste05[[#This Row],[ListPot]]</f>
        <v>13</v>
      </c>
      <c r="BM17">
        <f>IF(AND(NOT(ISBLANK(BE$3)),Liste05[[#This Row],[ListPotKum]]&lt;=Reststimmen),Liste05[[#This Row],[ListPot]],0)</f>
        <v>0</v>
      </c>
      <c r="BN17" s="4">
        <f>MIN(SUMIFS(Liste05[Wahl],Liste05[Platz],Liste05[[#This Row],[Platz]]),3)*(Liste05[[#This Row],[Mult]]=1)*StimmenzahlOk</f>
        <v>0</v>
      </c>
      <c r="BO17" s="4">
        <f>SUMIFS(Liste05[ListVerg],Liste05[Platz],Liste05[[#This Row],[Platz]])*(Liste05[[#This Row],[Mult]]=1)*ListenkreuzeOk</f>
        <v>0</v>
      </c>
      <c r="BP17" s="4">
        <f>Liste05[[#This Row],[Liste]]+Liste05[[#This Row],[Einzel]]</f>
        <v>0</v>
      </c>
      <c r="BR17" s="8"/>
      <c r="BS17" s="3"/>
      <c r="BT17" s="37"/>
      <c r="BU17" t="b">
        <f>AND((Liste06[[#This Row],[Spalte1]]=0),LEN(Liste06[[#This Row],[Spalte1]])=1)</f>
        <v>0</v>
      </c>
      <c r="BV17">
        <f t="array" ref="BV17">SUM((ROW(Liste06[Spalte2])&lt;=ROW())*(Liste06[Spalte2]=Liste06[[#This Row],[Spalte2]])*NOT(Liste06[IstGestrichen]))*NOT(Liste06[[#This Row],[IstGestrichen]])</f>
        <v>13</v>
      </c>
      <c r="BW17">
        <f t="array" ref="BW17">MIN(SUMIFS(Liste06[Spalte1],Liste06[Spalte2],Liste06[[#This Row],[Spalte2]]),3)</f>
        <v>0</v>
      </c>
      <c r="BX17">
        <f>(Liste06[[#This Row],[Mult]]&gt;Liste06[[#This Row],[GülzST2]])*1*NOT(Liste06[[#This Row],[IstGestrichen]])</f>
        <v>1</v>
      </c>
      <c r="BY17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7">
        <f>IF(AND(NOT(ISBLANK(BR$3)),Liste06[[#This Row],[ListPotKum]]&lt;=Reststimmen),Liste06[[#This Row],[ListPot]],0)</f>
        <v>0</v>
      </c>
      <c r="CA17" s="4">
        <f>MIN(SUMIFS(Liste06[Spalte1],Liste06[Spalte2],Liste06[[#This Row],[Spalte2]]),3)*(Liste06[[#This Row],[Mult]]=1)*StimmenzahlOk</f>
        <v>0</v>
      </c>
      <c r="CB17" s="4">
        <f>SUMIFS(Liste06[ListVerg],Liste06[Spalte2],Liste06[[#This Row],[Spalte2]])*(Liste06[[#This Row],[Mult]]=1)*ListenkreuzeOk</f>
        <v>0</v>
      </c>
      <c r="CC17" s="4">
        <f>Liste06[[#This Row],[Liste]]+Liste06[[#This Row],[Einzel]]</f>
        <v>0</v>
      </c>
      <c r="CE17" s="8"/>
      <c r="CF17" s="3">
        <v>713</v>
      </c>
      <c r="CG17" s="28" t="s">
        <v>487</v>
      </c>
      <c r="CH17" t="b">
        <f>AND((Liste07[[#This Row],[Wahl]]=0),LEN(Liste07[[#This Row],[Wahl]])=1)</f>
        <v>0</v>
      </c>
      <c r="CI17">
        <f t="array" ref="CI17">SUM((ROW(Liste07[Platz])&lt;=ROW())*(Liste07[Platz]=Liste07[[#This Row],[Platz]])*NOT(Liste07[IstGestrichen]))*NOT(Liste07[[#This Row],[IstGestrichen]])</f>
        <v>1</v>
      </c>
      <c r="CJ17">
        <f t="array" ref="CJ17">MIN(SUMIFS(Liste07[Wahl],Liste07[Platz],Liste07[[#This Row],[Platz]]),3)</f>
        <v>0</v>
      </c>
      <c r="CK17">
        <f>(Liste07[[#This Row],[Mult]]&gt;Liste07[[#This Row],[GülzST2]])*1*NOT(Liste07[[#This Row],[IstGestrichen]])</f>
        <v>1</v>
      </c>
      <c r="CL17">
        <f>SUMIFS(Liste07[ListPot],Liste07[Platz],Liste07[[#This Row],[Platz]],Liste07[Mult],"&lt;="&amp;Liste07[[#This Row],[Mult]])+SUMIFS(Liste07[ListPot],Liste07[Platz],"&lt;"&amp;Liste07[[#This Row],[Platz]])*Liste07[[#This Row],[ListPot]]</f>
        <v>13</v>
      </c>
      <c r="CM17">
        <f>IF(AND(NOT(ISBLANK(CE$3)),Liste07[[#This Row],[ListPotKum]]&lt;=Reststimmen),Liste07[[#This Row],[ListPot]],0)</f>
        <v>0</v>
      </c>
      <c r="CN17" s="4">
        <f>MIN(SUMIFS(Liste07[Wahl],Liste07[Platz],Liste07[[#This Row],[Platz]]),3)*(Liste07[[#This Row],[Mult]]=1)*StimmenzahlOk</f>
        <v>0</v>
      </c>
      <c r="CO17" s="4">
        <f>SUMIFS(Liste07[ListVerg],Liste07[Platz],Liste07[[#This Row],[Platz]])*(Liste07[[#This Row],[Mult]]=1)*ListenkreuzeOk</f>
        <v>0</v>
      </c>
      <c r="CP17" s="4">
        <f>Liste07[[#This Row],[Liste]]+Liste07[[#This Row],[Einzel]]</f>
        <v>0</v>
      </c>
      <c r="CR17" s="8"/>
      <c r="CS17" s="3">
        <v>813</v>
      </c>
      <c r="CT17" s="28" t="s">
        <v>538</v>
      </c>
      <c r="CU17" t="b">
        <f>AND((Liste08[[#This Row],[Wahl]]=0),LEN(Liste08[[#This Row],[Wahl]])=1)</f>
        <v>0</v>
      </c>
      <c r="CV17">
        <f t="array" ref="CV17">SUM((ROW(Liste08[Platz])&lt;=ROW())*(Liste08[Platz]=Liste08[[#This Row],[Platz]])*NOT(Liste08[IstGestrichen]))*NOT(Liste08[[#This Row],[IstGestrichen]])</f>
        <v>1</v>
      </c>
      <c r="CW17">
        <f t="array" ref="CW17">MIN(SUMIFS(Liste08[Wahl],Liste08[Platz],Liste08[[#This Row],[Platz]]),3)</f>
        <v>0</v>
      </c>
      <c r="CX17">
        <f>(Liste08[[#This Row],[Mult]]&gt;Liste08[[#This Row],[GülzST2]])*1*NOT(Liste08[[#This Row],[IstGestrichen]])</f>
        <v>1</v>
      </c>
      <c r="CY17">
        <f>SUMIFS(Liste08[ListPot],Liste08[Platz],Liste08[[#This Row],[Platz]],Liste08[Mult],"&lt;="&amp;Liste08[[#This Row],[Mult]])+SUMIFS(Liste08[ListPot],Liste08[Platz],"&lt;"&amp;Liste08[[#This Row],[Platz]])*Liste08[[#This Row],[ListPot]]</f>
        <v>13</v>
      </c>
      <c r="CZ17">
        <f>IF(AND(NOT(ISBLANK(CR$3)),Liste08[[#This Row],[ListPotKum]]&lt;=Reststimmen),Liste08[[#This Row],[ListPot]],0)</f>
        <v>0</v>
      </c>
      <c r="DA17" s="4">
        <f>MIN(SUMIFS(Liste08[Wahl],Liste08[Platz],Liste08[[#This Row],[Platz]]),3)*(Liste08[[#This Row],[Mult]]=1)*StimmenzahlOk</f>
        <v>0</v>
      </c>
      <c r="DB17" s="4">
        <f>SUMIFS(Liste08[ListVerg],Liste08[Platz],Liste08[[#This Row],[Platz]])*(Liste08[[#This Row],[Mult]]=1)*ListenkreuzeOk</f>
        <v>0</v>
      </c>
      <c r="DC17" s="4">
        <f>Liste08[[#This Row],[Liste]]+Liste08[[#This Row],[Einzel]]</f>
        <v>0</v>
      </c>
      <c r="DE17" s="8"/>
      <c r="DF17" s="3"/>
      <c r="DG17" s="28"/>
      <c r="DH17" t="b">
        <f>AND((Liste09[[#This Row],[Wahl]]=0),LEN(Liste09[[#This Row],[Wahl]])=1)</f>
        <v>0</v>
      </c>
      <c r="DI17">
        <f t="array" ref="DI17">SUM((ROW(Liste09[Platz])&lt;=ROW())*(Liste09[Platz]=Liste09[[#This Row],[Platz]])*NOT(Liste09[IstGestrichen]))*NOT(Liste09[[#This Row],[IstGestrichen]])</f>
        <v>13</v>
      </c>
      <c r="DJ17">
        <f t="array" ref="DJ17">MIN(SUMIFS(Liste09[Wahl],Liste09[Platz],Liste09[[#This Row],[Platz]]),3)</f>
        <v>0</v>
      </c>
      <c r="DK17">
        <f>(Liste09[[#This Row],[Mult]]&gt;Liste09[[#This Row],[GülzST2]])*1*NOT(Liste09[[#This Row],[IstGestrichen]])</f>
        <v>1</v>
      </c>
      <c r="DL17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7">
        <f>IF(AND(NOT(ISBLANK(DE$3)),Liste09[[#This Row],[ListPotKum]]&lt;=Reststimmen),Liste09[[#This Row],[ListPot]],0)</f>
        <v>0</v>
      </c>
      <c r="DN17" s="4">
        <f>MIN(SUMIFS(Liste09[Wahl],Liste09[Platz],Liste09[[#This Row],[Platz]]),3)*(Liste09[[#This Row],[Mult]]=1)*StimmenzahlOk</f>
        <v>0</v>
      </c>
      <c r="DO17" s="4">
        <f>SUMIFS(Liste09[ListVerg],Liste09[Platz],Liste09[[#This Row],[Platz]])*(Liste09[[#This Row],[Mult]]=1)*ListenkreuzeOk</f>
        <v>0</v>
      </c>
      <c r="DP17" s="4">
        <f>Liste09[[#This Row],[Liste]]+Liste09[[#This Row],[Einzel]]</f>
        <v>0</v>
      </c>
    </row>
    <row r="18" spans="1:120" ht="15.75" x14ac:dyDescent="0.25">
      <c r="A18" s="40" t="s">
        <v>263</v>
      </c>
      <c r="B18" s="17"/>
      <c r="E18" s="8"/>
      <c r="F18" s="3">
        <v>114</v>
      </c>
      <c r="G18" s="2" t="s">
        <v>286</v>
      </c>
      <c r="H18" t="b">
        <f>AND((Liste01[[#This Row],[Wahl]]=0),LEN(Liste01[[#This Row],[Wahl]])=1)</f>
        <v>0</v>
      </c>
      <c r="I18">
        <f t="array" ref="I18">SUM((ROW(Liste01[Platz])&lt;=ROW())*(Liste01[Platz]=Liste01[[#This Row],[Platz]])*NOT(Liste01[IstGestrichen]))*NOT(Liste01[[#This Row],[IstGestrichen]])</f>
        <v>1</v>
      </c>
      <c r="J18">
        <f t="array" ref="J18">MIN(SUMIFS(Liste01[Wahl],Liste01[Platz],Liste01[[#This Row],[Platz]]),3)</f>
        <v>0</v>
      </c>
      <c r="K18">
        <f>(Liste01[[#This Row],[Mult]]&gt;Liste01[[#This Row],[GülzST2]])*1*NOT(Liste01[[#This Row],[IstGestrichen]])</f>
        <v>1</v>
      </c>
      <c r="L18">
        <f>SUMIFS(Liste01[ListPot],Liste01[Platz],Liste01[[#This Row],[Platz]],Liste01[Mult],"&lt;="&amp;Liste01[[#This Row],[Mult]])+SUMIFS(Liste01[ListPot],Liste01[Platz],"&lt;"&amp;Liste01[[#This Row],[Platz]])*Liste01[[#This Row],[ListPot]]</f>
        <v>14</v>
      </c>
      <c r="M18">
        <f>IF(AND(NOT(ISBLANK(E$3)),Liste01[[#This Row],[ListPotKum]]&lt;=Reststimmen),Liste01[[#This Row],[ListPot]],0)</f>
        <v>0</v>
      </c>
      <c r="N18" s="4">
        <f>MIN(SUMIFS(Liste01[Wahl],Liste01[Platz],Liste01[[#This Row],[Platz]]),3)*(Liste01[[#This Row],[Mult]]=1)*StimmenzahlOk</f>
        <v>0</v>
      </c>
      <c r="O18" s="4">
        <f>SUMIFS(Liste01[ListVerg],Liste01[Platz],Liste01[[#This Row],[Platz]])*(Liste01[[#This Row],[Mult]]=1)*ListenkreuzeOk</f>
        <v>0</v>
      </c>
      <c r="P18" s="4">
        <f>Liste01[[#This Row],[Liste]]+Liste01[[#This Row],[Einzel]]</f>
        <v>0</v>
      </c>
      <c r="R18" s="8"/>
      <c r="S18" s="3">
        <v>214</v>
      </c>
      <c r="T18" s="28" t="s">
        <v>336</v>
      </c>
      <c r="U18" t="b">
        <f>AND((Liste02[[#This Row],[Wahl]]=0),LEN(Liste02[[#This Row],[Wahl]])=1)</f>
        <v>0</v>
      </c>
      <c r="V18">
        <f t="array" ref="V18">SUM((ROW(Liste02[Platz])&lt;=ROW())*(Liste02[Platz]=Liste02[[#This Row],[Platz]])*NOT(Liste02[IstGestrichen]))*NOT(Liste02[[#This Row],[IstGestrichen]])</f>
        <v>1</v>
      </c>
      <c r="W18">
        <f t="array" ref="W18">MIN(SUMIFS(Liste02[Wahl],Liste02[Platz],Liste02[[#This Row],[Platz]]),3)</f>
        <v>0</v>
      </c>
      <c r="X18">
        <f>(Liste02[[#This Row],[Mult]]&gt;Liste02[[#This Row],[GülzST2]])*1*NOT(Liste02[[#This Row],[IstGestrichen]])</f>
        <v>1</v>
      </c>
      <c r="Y18">
        <f>SUMIFS(Liste02[ListPot],Liste02[Platz],Liste02[[#This Row],[Platz]],Liste02[Mult],"&lt;="&amp;Liste02[[#This Row],[Mult]])+SUMIFS(Liste02[ListPot],Liste02[Platz],"&lt;"&amp;Liste02[[#This Row],[Platz]])*Liste02[[#This Row],[ListPot]]</f>
        <v>14</v>
      </c>
      <c r="Z18">
        <f>IF(AND(NOT(ISBLANK(R$3)),Liste02[[#This Row],[ListPotKum]]&lt;=Reststimmen),Liste02[[#This Row],[ListPot]],0)</f>
        <v>0</v>
      </c>
      <c r="AA18" s="4">
        <f>MIN(SUMIFS(Liste02[Wahl],Liste02[Platz],Liste02[[#This Row],[Platz]]),3)*(Liste02[[#This Row],[Mult]]=1)*StimmenzahlOk</f>
        <v>0</v>
      </c>
      <c r="AB18" s="4">
        <f>SUMIFS(Liste02[ListVerg],Liste02[Platz],Liste02[[#This Row],[Platz]])*(Liste02[[#This Row],[Mult]]=1)*ListenkreuzeOk</f>
        <v>0</v>
      </c>
      <c r="AC18" s="4">
        <f>Liste02[[#This Row],[Liste]]+Liste02[[#This Row],[Einzel]]</f>
        <v>0</v>
      </c>
      <c r="AE18" s="8"/>
      <c r="AF18" s="3">
        <v>314</v>
      </c>
      <c r="AG18" s="28" t="s">
        <v>386</v>
      </c>
      <c r="AH18" t="b">
        <f>AND((Liste03[[#This Row],[Wahl]]=0),LEN(Liste03[[#This Row],[Wahl]])=1)</f>
        <v>0</v>
      </c>
      <c r="AI18">
        <f t="array" ref="AI18">SUM((ROW(Liste03[Platz])&lt;=ROW())*(Liste03[Platz]=Liste03[[#This Row],[Platz]])*NOT(Liste03[IstGestrichen]))*NOT(Liste03[[#This Row],[IstGestrichen]])</f>
        <v>1</v>
      </c>
      <c r="AJ18">
        <f t="array" ref="AJ18">MIN(SUMIFS(Liste03[Wahl],Liste03[Platz],Liste03[[#This Row],[Platz]]),3)</f>
        <v>0</v>
      </c>
      <c r="AK18">
        <f>(Liste03[[#This Row],[Mult]]&gt;Liste03[[#This Row],[GülzST2]])*1*NOT(Liste03[[#This Row],[IstGestrichen]])</f>
        <v>1</v>
      </c>
      <c r="AL18">
        <f>SUMIFS(Liste03[ListPot],Liste03[Platz],Liste03[[#This Row],[Platz]],Liste03[Mult],"&lt;="&amp;Liste03[[#This Row],[Mult]])+SUMIFS(Liste03[ListPot],Liste03[Platz],"&lt;"&amp;Liste03[[#This Row],[Platz]])*Liste03[[#This Row],[ListPot]]</f>
        <v>14</v>
      </c>
      <c r="AM18">
        <f>IF(AND(NOT(ISBLANK(AE$3)),Liste03[[#This Row],[ListPotKum]]&lt;=Reststimmen),Liste03[[#This Row],[ListPot]],0)</f>
        <v>0</v>
      </c>
      <c r="AN18" s="4">
        <f>MIN(SUMIFS(Liste03[Wahl],Liste03[Platz],Liste03[[#This Row],[Platz]]),3)*(Liste03[[#This Row],[Mult]]=1)*StimmenzahlOk</f>
        <v>0</v>
      </c>
      <c r="AO18" s="4">
        <f>SUMIFS(Liste03[ListVerg],Liste03[Platz],Liste03[[#This Row],[Platz]])*(Liste03[[#This Row],[Mult]]=1)*ListenkreuzeOk</f>
        <v>0</v>
      </c>
      <c r="AP18" s="4">
        <f>Liste03[[#This Row],[Liste]]+Liste03[[#This Row],[Einzel]]</f>
        <v>0</v>
      </c>
      <c r="AR18" s="8"/>
      <c r="AS18" s="3"/>
      <c r="AT18" s="28"/>
      <c r="AU18" t="b">
        <f>AND((Liste04[[#This Row],[Wahl]]=0),LEN(Liste04[[#This Row],[Wahl]])=1)</f>
        <v>0</v>
      </c>
      <c r="AV18">
        <f t="array" ref="AV18">SUM((ROW(Liste04[Platz])&lt;=ROW())*(Liste04[Platz]=Liste04[[#This Row],[Platz]])*NOT(Liste04[IstGestrichen]))*NOT(Liste04[[#This Row],[IstGestrichen]])</f>
        <v>14</v>
      </c>
      <c r="AW18">
        <f t="array" ref="AW18">MIN(SUMIFS(Liste04[Wahl],Liste04[Platz],Liste04[[#This Row],[Platz]]),3)</f>
        <v>0</v>
      </c>
      <c r="AX18">
        <f>(Liste04[[#This Row],[Mult]]&gt;Liste04[[#This Row],[GülzST2]])*1*NOT(Liste04[[#This Row],[IstGestrichen]])</f>
        <v>1</v>
      </c>
      <c r="AY18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8">
        <f>IF(AND(NOT(ISBLANK(AR$3)),Liste04[[#This Row],[ListPotKum]]&lt;=Reststimmen),Liste04[[#This Row],[ListPot]],0)</f>
        <v>0</v>
      </c>
      <c r="BA18" s="4">
        <f>MIN(SUMIFS(Liste04[Wahl],Liste04[Platz],Liste04[[#This Row],[Platz]]),3)*(Liste04[[#This Row],[Mult]]=1)*StimmenzahlOk</f>
        <v>0</v>
      </c>
      <c r="BB18" s="4">
        <f>SUMIFS(Liste04[ListVerg],Liste04[Platz],Liste04[[#This Row],[Platz]])*(Liste04[[#This Row],[Mult]]=1)*ListenkreuzeOk</f>
        <v>0</v>
      </c>
      <c r="BC18" s="4">
        <f>Liste04[[#This Row],[Liste]]+Liste04[[#This Row],[Einzel]]</f>
        <v>0</v>
      </c>
      <c r="BE18" s="8"/>
      <c r="BF18" s="3">
        <v>514</v>
      </c>
      <c r="BG18" s="28" t="s">
        <v>438</v>
      </c>
      <c r="BH18" t="b">
        <f>AND((Liste05[[#This Row],[Wahl]]=0),LEN(Liste05[[#This Row],[Wahl]])=1)</f>
        <v>0</v>
      </c>
      <c r="BI18">
        <f t="array" ref="BI18">SUM((ROW(Liste05[Platz])&lt;=ROW())*(Liste05[Platz]=Liste05[[#This Row],[Platz]])*NOT(Liste05[IstGestrichen]))*NOT(Liste05[[#This Row],[IstGestrichen]])</f>
        <v>1</v>
      </c>
      <c r="BJ18">
        <f t="array" ref="BJ18">MIN(SUMIFS(Liste05[Wahl],Liste05[Platz],Liste05[[#This Row],[Platz]]),3)</f>
        <v>0</v>
      </c>
      <c r="BK18">
        <f>(Liste05[[#This Row],[Mult]]&gt;Liste05[[#This Row],[GülzST2]])*1*NOT(Liste05[[#This Row],[IstGestrichen]])</f>
        <v>1</v>
      </c>
      <c r="BL18">
        <f>SUMIFS(Liste05[ListPot],Liste05[Platz],Liste05[[#This Row],[Platz]],Liste05[Mult],"&lt;="&amp;Liste05[[#This Row],[Mult]])+SUMIFS(Liste05[ListPot],Liste05[Platz],"&lt;"&amp;Liste05[[#This Row],[Platz]])*Liste05[[#This Row],[ListPot]]</f>
        <v>14</v>
      </c>
      <c r="BM18">
        <f>IF(AND(NOT(ISBLANK(BE$3)),Liste05[[#This Row],[ListPotKum]]&lt;=Reststimmen),Liste05[[#This Row],[ListPot]],0)</f>
        <v>0</v>
      </c>
      <c r="BN18" s="4">
        <f>MIN(SUMIFS(Liste05[Wahl],Liste05[Platz],Liste05[[#This Row],[Platz]]),3)*(Liste05[[#This Row],[Mult]]=1)*StimmenzahlOk</f>
        <v>0</v>
      </c>
      <c r="BO18" s="4">
        <f>SUMIFS(Liste05[ListVerg],Liste05[Platz],Liste05[[#This Row],[Platz]])*(Liste05[[#This Row],[Mult]]=1)*ListenkreuzeOk</f>
        <v>0</v>
      </c>
      <c r="BP18" s="4">
        <f>Liste05[[#This Row],[Liste]]+Liste05[[#This Row],[Einzel]]</f>
        <v>0</v>
      </c>
      <c r="BR18" s="8"/>
      <c r="BS18" s="3"/>
      <c r="BT18" s="28"/>
      <c r="BU18" t="b">
        <f>AND((Liste06[[#This Row],[Spalte1]]=0),LEN(Liste06[[#This Row],[Spalte1]])=1)</f>
        <v>0</v>
      </c>
      <c r="BV18">
        <f t="array" ref="BV18">SUM((ROW(Liste06[Spalte2])&lt;=ROW())*(Liste06[Spalte2]=Liste06[[#This Row],[Spalte2]])*NOT(Liste06[IstGestrichen]))*NOT(Liste06[[#This Row],[IstGestrichen]])</f>
        <v>14</v>
      </c>
      <c r="BW18">
        <f t="array" ref="BW18">MIN(SUMIFS(Liste06[Spalte1],Liste06[Spalte2],Liste06[[#This Row],[Spalte2]]),3)</f>
        <v>0</v>
      </c>
      <c r="BX18">
        <f>(Liste06[[#This Row],[Mult]]&gt;Liste06[[#This Row],[GülzST2]])*1*NOT(Liste06[[#This Row],[IstGestrichen]])</f>
        <v>1</v>
      </c>
      <c r="BY18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8">
        <f>IF(AND(NOT(ISBLANK(BR$3)),Liste06[[#This Row],[ListPotKum]]&lt;=Reststimmen),Liste06[[#This Row],[ListPot]],0)</f>
        <v>0</v>
      </c>
      <c r="CA18" s="4">
        <f>MIN(SUMIFS(Liste06[Spalte1],Liste06[Spalte2],Liste06[[#This Row],[Spalte2]]),3)*(Liste06[[#This Row],[Mult]]=1)*StimmenzahlOk</f>
        <v>0</v>
      </c>
      <c r="CB18" s="4">
        <f>SUMIFS(Liste06[ListVerg],Liste06[Spalte2],Liste06[[#This Row],[Spalte2]])*(Liste06[[#This Row],[Mult]]=1)*ListenkreuzeOk</f>
        <v>0</v>
      </c>
      <c r="CC18" s="4">
        <f>Liste06[[#This Row],[Liste]]+Liste06[[#This Row],[Einzel]]</f>
        <v>0</v>
      </c>
      <c r="CE18" s="8"/>
      <c r="CF18" s="3">
        <v>714</v>
      </c>
      <c r="CG18" s="28" t="s">
        <v>488</v>
      </c>
      <c r="CH18" t="b">
        <f>AND((Liste07[[#This Row],[Wahl]]=0),LEN(Liste07[[#This Row],[Wahl]])=1)</f>
        <v>0</v>
      </c>
      <c r="CI18">
        <f t="array" ref="CI18">SUM((ROW(Liste07[Platz])&lt;=ROW())*(Liste07[Platz]=Liste07[[#This Row],[Platz]])*NOT(Liste07[IstGestrichen]))*NOT(Liste07[[#This Row],[IstGestrichen]])</f>
        <v>1</v>
      </c>
      <c r="CJ18">
        <f t="array" ref="CJ18">MIN(SUMIFS(Liste07[Wahl],Liste07[Platz],Liste07[[#This Row],[Platz]]),3)</f>
        <v>0</v>
      </c>
      <c r="CK18">
        <f>(Liste07[[#This Row],[Mult]]&gt;Liste07[[#This Row],[GülzST2]])*1*NOT(Liste07[[#This Row],[IstGestrichen]])</f>
        <v>1</v>
      </c>
      <c r="CL18">
        <f>SUMIFS(Liste07[ListPot],Liste07[Platz],Liste07[[#This Row],[Platz]],Liste07[Mult],"&lt;="&amp;Liste07[[#This Row],[Mult]])+SUMIFS(Liste07[ListPot],Liste07[Platz],"&lt;"&amp;Liste07[[#This Row],[Platz]])*Liste07[[#This Row],[ListPot]]</f>
        <v>14</v>
      </c>
      <c r="CM18">
        <f>IF(AND(NOT(ISBLANK(CE$3)),Liste07[[#This Row],[ListPotKum]]&lt;=Reststimmen),Liste07[[#This Row],[ListPot]],0)</f>
        <v>0</v>
      </c>
      <c r="CN18" s="4">
        <f>MIN(SUMIFS(Liste07[Wahl],Liste07[Platz],Liste07[[#This Row],[Platz]]),3)*(Liste07[[#This Row],[Mult]]=1)*StimmenzahlOk</f>
        <v>0</v>
      </c>
      <c r="CO18" s="4">
        <f>SUMIFS(Liste07[ListVerg],Liste07[Platz],Liste07[[#This Row],[Platz]])*(Liste07[[#This Row],[Mult]]=1)*ListenkreuzeOk</f>
        <v>0</v>
      </c>
      <c r="CP18" s="4">
        <f>Liste07[[#This Row],[Liste]]+Liste07[[#This Row],[Einzel]]</f>
        <v>0</v>
      </c>
      <c r="CR18" s="8"/>
      <c r="CS18" s="3">
        <v>814</v>
      </c>
      <c r="CT18" s="28" t="s">
        <v>539</v>
      </c>
      <c r="CU18" t="b">
        <f>AND((Liste08[[#This Row],[Wahl]]=0),LEN(Liste08[[#This Row],[Wahl]])=1)</f>
        <v>0</v>
      </c>
      <c r="CV18">
        <f t="array" ref="CV18">SUM((ROW(Liste08[Platz])&lt;=ROW())*(Liste08[Platz]=Liste08[[#This Row],[Platz]])*NOT(Liste08[IstGestrichen]))*NOT(Liste08[[#This Row],[IstGestrichen]])</f>
        <v>1</v>
      </c>
      <c r="CW18">
        <f t="array" ref="CW18">MIN(SUMIFS(Liste08[Wahl],Liste08[Platz],Liste08[[#This Row],[Platz]]),3)</f>
        <v>0</v>
      </c>
      <c r="CX18">
        <f>(Liste08[[#This Row],[Mult]]&gt;Liste08[[#This Row],[GülzST2]])*1*NOT(Liste08[[#This Row],[IstGestrichen]])</f>
        <v>1</v>
      </c>
      <c r="CY18">
        <f>SUMIFS(Liste08[ListPot],Liste08[Platz],Liste08[[#This Row],[Platz]],Liste08[Mult],"&lt;="&amp;Liste08[[#This Row],[Mult]])+SUMIFS(Liste08[ListPot],Liste08[Platz],"&lt;"&amp;Liste08[[#This Row],[Platz]])*Liste08[[#This Row],[ListPot]]</f>
        <v>14</v>
      </c>
      <c r="CZ18">
        <f>IF(AND(NOT(ISBLANK(CR$3)),Liste08[[#This Row],[ListPotKum]]&lt;=Reststimmen),Liste08[[#This Row],[ListPot]],0)</f>
        <v>0</v>
      </c>
      <c r="DA18" s="4">
        <f>MIN(SUMIFS(Liste08[Wahl],Liste08[Platz],Liste08[[#This Row],[Platz]]),3)*(Liste08[[#This Row],[Mult]]=1)*StimmenzahlOk</f>
        <v>0</v>
      </c>
      <c r="DB18" s="4">
        <f>SUMIFS(Liste08[ListVerg],Liste08[Platz],Liste08[[#This Row],[Platz]])*(Liste08[[#This Row],[Mult]]=1)*ListenkreuzeOk</f>
        <v>0</v>
      </c>
      <c r="DC18" s="4">
        <f>Liste08[[#This Row],[Liste]]+Liste08[[#This Row],[Einzel]]</f>
        <v>0</v>
      </c>
      <c r="DE18" s="8"/>
      <c r="DF18" s="3"/>
      <c r="DG18" s="28"/>
      <c r="DH18" t="b">
        <f>AND((Liste09[[#This Row],[Wahl]]=0),LEN(Liste09[[#This Row],[Wahl]])=1)</f>
        <v>0</v>
      </c>
      <c r="DI18">
        <f t="array" ref="DI18">SUM((ROW(Liste09[Platz])&lt;=ROW())*(Liste09[Platz]=Liste09[[#This Row],[Platz]])*NOT(Liste09[IstGestrichen]))*NOT(Liste09[[#This Row],[IstGestrichen]])</f>
        <v>14</v>
      </c>
      <c r="DJ18">
        <f t="array" ref="DJ18">MIN(SUMIFS(Liste09[Wahl],Liste09[Platz],Liste09[[#This Row],[Platz]]),3)</f>
        <v>0</v>
      </c>
      <c r="DK18">
        <f>(Liste09[[#This Row],[Mult]]&gt;Liste09[[#This Row],[GülzST2]])*1*NOT(Liste09[[#This Row],[IstGestrichen]])</f>
        <v>1</v>
      </c>
      <c r="DL18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8">
        <f>IF(AND(NOT(ISBLANK(DE$3)),Liste09[[#This Row],[ListPotKum]]&lt;=Reststimmen),Liste09[[#This Row],[ListPot]],0)</f>
        <v>0</v>
      </c>
      <c r="DN18" s="4">
        <f>MIN(SUMIFS(Liste09[Wahl],Liste09[Platz],Liste09[[#This Row],[Platz]]),3)*(Liste09[[#This Row],[Mult]]=1)*StimmenzahlOk</f>
        <v>0</v>
      </c>
      <c r="DO18" s="4">
        <f>SUMIFS(Liste09[ListVerg],Liste09[Platz],Liste09[[#This Row],[Platz]])*(Liste09[[#This Row],[Mult]]=1)*ListenkreuzeOk</f>
        <v>0</v>
      </c>
      <c r="DP18" s="4">
        <f>Liste09[[#This Row],[Liste]]+Liste09[[#This Row],[Einzel]]</f>
        <v>0</v>
      </c>
    </row>
    <row r="19" spans="1:120" ht="15.75" x14ac:dyDescent="0.25">
      <c r="A19" s="39" t="s">
        <v>264</v>
      </c>
      <c r="B19" s="17"/>
      <c r="E19" s="8"/>
      <c r="F19" s="3">
        <v>115</v>
      </c>
      <c r="G19" s="2" t="s">
        <v>287</v>
      </c>
      <c r="H19" t="b">
        <f>AND((Liste01[[#This Row],[Wahl]]=0),LEN(Liste01[[#This Row],[Wahl]])=1)</f>
        <v>0</v>
      </c>
      <c r="I19">
        <f t="array" ref="I19">SUM((ROW(Liste01[Platz])&lt;=ROW())*(Liste01[Platz]=Liste01[[#This Row],[Platz]])*NOT(Liste01[IstGestrichen]))*NOT(Liste01[[#This Row],[IstGestrichen]])</f>
        <v>1</v>
      </c>
      <c r="J19">
        <f t="array" ref="J19">MIN(SUMIFS(Liste01[Wahl],Liste01[Platz],Liste01[[#This Row],[Platz]]),3)</f>
        <v>0</v>
      </c>
      <c r="K19">
        <f>(Liste01[[#This Row],[Mult]]&gt;Liste01[[#This Row],[GülzST2]])*1*NOT(Liste01[[#This Row],[IstGestrichen]])</f>
        <v>1</v>
      </c>
      <c r="L19">
        <f>SUMIFS(Liste01[ListPot],Liste01[Platz],Liste01[[#This Row],[Platz]],Liste01[Mult],"&lt;="&amp;Liste01[[#This Row],[Mult]])+SUMIFS(Liste01[ListPot],Liste01[Platz],"&lt;"&amp;Liste01[[#This Row],[Platz]])*Liste01[[#This Row],[ListPot]]</f>
        <v>15</v>
      </c>
      <c r="M19">
        <f>IF(AND(NOT(ISBLANK(E$3)),Liste01[[#This Row],[ListPotKum]]&lt;=Reststimmen),Liste01[[#This Row],[ListPot]],0)</f>
        <v>0</v>
      </c>
      <c r="N19" s="4">
        <f>MIN(SUMIFS(Liste01[Wahl],Liste01[Platz],Liste01[[#This Row],[Platz]]),3)*(Liste01[[#This Row],[Mult]]=1)*StimmenzahlOk</f>
        <v>0</v>
      </c>
      <c r="O19" s="4">
        <f>SUMIFS(Liste01[ListVerg],Liste01[Platz],Liste01[[#This Row],[Platz]])*(Liste01[[#This Row],[Mult]]=1)*ListenkreuzeOk</f>
        <v>0</v>
      </c>
      <c r="P19" s="4">
        <f>Liste01[[#This Row],[Liste]]+Liste01[[#This Row],[Einzel]]</f>
        <v>0</v>
      </c>
      <c r="R19" s="8"/>
      <c r="S19" s="3">
        <v>215</v>
      </c>
      <c r="T19" s="28" t="s">
        <v>337</v>
      </c>
      <c r="U19" t="b">
        <f>AND((Liste02[[#This Row],[Wahl]]=0),LEN(Liste02[[#This Row],[Wahl]])=1)</f>
        <v>0</v>
      </c>
      <c r="V19">
        <f t="array" ref="V19">SUM((ROW(Liste02[Platz])&lt;=ROW())*(Liste02[Platz]=Liste02[[#This Row],[Platz]])*NOT(Liste02[IstGestrichen]))*NOT(Liste02[[#This Row],[IstGestrichen]])</f>
        <v>1</v>
      </c>
      <c r="W19">
        <f t="array" ref="W19">MIN(SUMIFS(Liste02[Wahl],Liste02[Platz],Liste02[[#This Row],[Platz]]),3)</f>
        <v>0</v>
      </c>
      <c r="X19">
        <f>(Liste02[[#This Row],[Mult]]&gt;Liste02[[#This Row],[GülzST2]])*1*NOT(Liste02[[#This Row],[IstGestrichen]])</f>
        <v>1</v>
      </c>
      <c r="Y19">
        <f>SUMIFS(Liste02[ListPot],Liste02[Platz],Liste02[[#This Row],[Platz]],Liste02[Mult],"&lt;="&amp;Liste02[[#This Row],[Mult]])+SUMIFS(Liste02[ListPot],Liste02[Platz],"&lt;"&amp;Liste02[[#This Row],[Platz]])*Liste02[[#This Row],[ListPot]]</f>
        <v>15</v>
      </c>
      <c r="Z19">
        <f>IF(AND(NOT(ISBLANK(R$3)),Liste02[[#This Row],[ListPotKum]]&lt;=Reststimmen),Liste02[[#This Row],[ListPot]],0)</f>
        <v>0</v>
      </c>
      <c r="AA19" s="4">
        <f>MIN(SUMIFS(Liste02[Wahl],Liste02[Platz],Liste02[[#This Row],[Platz]]),3)*(Liste02[[#This Row],[Mult]]=1)*StimmenzahlOk</f>
        <v>0</v>
      </c>
      <c r="AB19" s="4">
        <f>SUMIFS(Liste02[ListVerg],Liste02[Platz],Liste02[[#This Row],[Platz]])*(Liste02[[#This Row],[Mult]]=1)*ListenkreuzeOk</f>
        <v>0</v>
      </c>
      <c r="AC19" s="4">
        <f>Liste02[[#This Row],[Liste]]+Liste02[[#This Row],[Einzel]]</f>
        <v>0</v>
      </c>
      <c r="AE19" s="8"/>
      <c r="AF19" s="3">
        <v>315</v>
      </c>
      <c r="AG19" s="28" t="s">
        <v>387</v>
      </c>
      <c r="AH19" t="b">
        <f>AND((Liste03[[#This Row],[Wahl]]=0),LEN(Liste03[[#This Row],[Wahl]])=1)</f>
        <v>0</v>
      </c>
      <c r="AI19">
        <f t="array" ref="AI19">SUM((ROW(Liste03[Platz])&lt;=ROW())*(Liste03[Platz]=Liste03[[#This Row],[Platz]])*NOT(Liste03[IstGestrichen]))*NOT(Liste03[[#This Row],[IstGestrichen]])</f>
        <v>1</v>
      </c>
      <c r="AJ19">
        <f t="array" ref="AJ19">MIN(SUMIFS(Liste03[Wahl],Liste03[Platz],Liste03[[#This Row],[Platz]]),3)</f>
        <v>0</v>
      </c>
      <c r="AK19">
        <f>(Liste03[[#This Row],[Mult]]&gt;Liste03[[#This Row],[GülzST2]])*1*NOT(Liste03[[#This Row],[IstGestrichen]])</f>
        <v>1</v>
      </c>
      <c r="AL19">
        <f>SUMIFS(Liste03[ListPot],Liste03[Platz],Liste03[[#This Row],[Platz]],Liste03[Mult],"&lt;="&amp;Liste03[[#This Row],[Mult]])+SUMIFS(Liste03[ListPot],Liste03[Platz],"&lt;"&amp;Liste03[[#This Row],[Platz]])*Liste03[[#This Row],[ListPot]]</f>
        <v>15</v>
      </c>
      <c r="AM19">
        <f>IF(AND(NOT(ISBLANK(AE$3)),Liste03[[#This Row],[ListPotKum]]&lt;=Reststimmen),Liste03[[#This Row],[ListPot]],0)</f>
        <v>0</v>
      </c>
      <c r="AN19" s="4">
        <f>MIN(SUMIFS(Liste03[Wahl],Liste03[Platz],Liste03[[#This Row],[Platz]]),3)*(Liste03[[#This Row],[Mult]]=1)*StimmenzahlOk</f>
        <v>0</v>
      </c>
      <c r="AO19" s="4">
        <f>SUMIFS(Liste03[ListVerg],Liste03[Platz],Liste03[[#This Row],[Platz]])*(Liste03[[#This Row],[Mult]]=1)*ListenkreuzeOk</f>
        <v>0</v>
      </c>
      <c r="AP19" s="4">
        <f>Liste03[[#This Row],[Liste]]+Liste03[[#This Row],[Einzel]]</f>
        <v>0</v>
      </c>
      <c r="AR19" s="8"/>
      <c r="AS19" s="3"/>
      <c r="AT19" s="28"/>
      <c r="AU19" s="9" t="b">
        <f>AND((Liste04[[#This Row],[Wahl]]=0),LEN(Liste04[[#This Row],[Wahl]])=1)</f>
        <v>0</v>
      </c>
      <c r="AV19" s="9">
        <f t="array" ref="AV19">SUM((ROW(Liste04[Platz])&lt;=ROW())*(Liste04[Platz]=Liste04[[#This Row],[Platz]])*NOT(Liste04[IstGestrichen]))*NOT(Liste04[[#This Row],[IstGestrichen]])</f>
        <v>15</v>
      </c>
      <c r="AW19" s="9">
        <f t="array" ref="AW19">MIN(SUMIFS(Liste04[Wahl],Liste04[Platz],Liste04[[#This Row],[Platz]]),3)</f>
        <v>0</v>
      </c>
      <c r="AX19" s="9">
        <f>(Liste04[[#This Row],[Mult]]&gt;Liste04[[#This Row],[GülzST2]])*1*NOT(Liste04[[#This Row],[IstGestrichen]])</f>
        <v>1</v>
      </c>
      <c r="AY19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19" s="14">
        <f>IF(AND(NOT(ISBLANK(AR$3)),Liste04[[#This Row],[ListPotKum]]&lt;=Reststimmen),Liste04[[#This Row],[ListPot]],0)</f>
        <v>0</v>
      </c>
      <c r="BA19" s="4">
        <f>MIN(SUMIFS(Liste04[Wahl],Liste04[Platz],Liste04[[#This Row],[Platz]]),3)*(Liste04[[#This Row],[Mult]]=1)*StimmenzahlOk</f>
        <v>0</v>
      </c>
      <c r="BB19" s="15">
        <f>SUMIFS(Liste04[ListVerg],Liste04[Platz],Liste04[[#This Row],[Platz]])*(Liste04[[#This Row],[Mult]]=1)*ListenkreuzeOk</f>
        <v>0</v>
      </c>
      <c r="BC19" s="4">
        <f>Liste04[[#This Row],[Liste]]+Liste04[[#This Row],[Einzel]]</f>
        <v>0</v>
      </c>
      <c r="BE19" s="8"/>
      <c r="BF19" s="3">
        <v>515</v>
      </c>
      <c r="BG19" s="28" t="s">
        <v>439</v>
      </c>
      <c r="BH19" t="b">
        <f>AND((Liste05[[#This Row],[Wahl]]=0),LEN(Liste05[[#This Row],[Wahl]])=1)</f>
        <v>0</v>
      </c>
      <c r="BI19">
        <f t="array" ref="BI19">SUM((ROW(Liste05[Platz])&lt;=ROW())*(Liste05[Platz]=Liste05[[#This Row],[Platz]])*NOT(Liste05[IstGestrichen]))*NOT(Liste05[[#This Row],[IstGestrichen]])</f>
        <v>1</v>
      </c>
      <c r="BJ19">
        <f t="array" ref="BJ19">MIN(SUMIFS(Liste05[Wahl],Liste05[Platz],Liste05[[#This Row],[Platz]]),3)</f>
        <v>0</v>
      </c>
      <c r="BK19">
        <f>(Liste05[[#This Row],[Mult]]&gt;Liste05[[#This Row],[GülzST2]])*1*NOT(Liste05[[#This Row],[IstGestrichen]])</f>
        <v>1</v>
      </c>
      <c r="BL19">
        <f>SUMIFS(Liste05[ListPot],Liste05[Platz],Liste05[[#This Row],[Platz]],Liste05[Mult],"&lt;="&amp;Liste05[[#This Row],[Mult]])+SUMIFS(Liste05[ListPot],Liste05[Platz],"&lt;"&amp;Liste05[[#This Row],[Platz]])*Liste05[[#This Row],[ListPot]]</f>
        <v>15</v>
      </c>
      <c r="BM19">
        <f>IF(AND(NOT(ISBLANK(BE$3)),Liste05[[#This Row],[ListPotKum]]&lt;=Reststimmen),Liste05[[#This Row],[ListPot]],0)</f>
        <v>0</v>
      </c>
      <c r="BN19" s="4">
        <f>MIN(SUMIFS(Liste05[Wahl],Liste05[Platz],Liste05[[#This Row],[Platz]]),3)*(Liste05[[#This Row],[Mult]]=1)*StimmenzahlOk</f>
        <v>0</v>
      </c>
      <c r="BO19" s="4">
        <f>SUMIFS(Liste05[ListVerg],Liste05[Platz],Liste05[[#This Row],[Platz]])*(Liste05[[#This Row],[Mult]]=1)*ListenkreuzeOk</f>
        <v>0</v>
      </c>
      <c r="BP19" s="4">
        <f>Liste05[[#This Row],[Liste]]+Liste05[[#This Row],[Einzel]]</f>
        <v>0</v>
      </c>
      <c r="BR19" s="8"/>
      <c r="BS19" s="3"/>
      <c r="BT19" s="28"/>
      <c r="BU19" s="9" t="b">
        <f>AND((Liste06[[#This Row],[Spalte1]]=0),LEN(Liste06[[#This Row],[Spalte1]])=1)</f>
        <v>0</v>
      </c>
      <c r="BV19" s="9">
        <f t="array" ref="BV19">SUM((ROW(Liste06[Spalte2])&lt;=ROW())*(Liste06[Spalte2]=Liste06[[#This Row],[Spalte2]])*NOT(Liste06[IstGestrichen]))*NOT(Liste06[[#This Row],[IstGestrichen]])</f>
        <v>15</v>
      </c>
      <c r="BW19" s="9">
        <f t="array" ref="BW19">MIN(SUMIFS(Liste06[Spalte1],Liste06[Spalte2],Liste06[[#This Row],[Spalte2]]),3)</f>
        <v>0</v>
      </c>
      <c r="BX19" s="9">
        <f>(Liste06[[#This Row],[Mult]]&gt;Liste06[[#This Row],[GülzST2]])*1*NOT(Liste06[[#This Row],[IstGestrichen]])</f>
        <v>1</v>
      </c>
      <c r="BY19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19" s="14">
        <f>IF(AND(NOT(ISBLANK(BR$3)),Liste06[[#This Row],[ListPotKum]]&lt;=Reststimmen),Liste06[[#This Row],[ListPot]],0)</f>
        <v>0</v>
      </c>
      <c r="CA19" s="4">
        <f>MIN(SUMIFS(Liste06[Spalte1],Liste06[Spalte2],Liste06[[#This Row],[Spalte2]]),3)*(Liste06[[#This Row],[Mult]]=1)*StimmenzahlOk</f>
        <v>0</v>
      </c>
      <c r="CB19" s="15">
        <f>SUMIFS(Liste06[ListVerg],Liste06[Spalte2],Liste06[[#This Row],[Spalte2]])*(Liste06[[#This Row],[Mult]]=1)*ListenkreuzeOk</f>
        <v>0</v>
      </c>
      <c r="CC19" s="4">
        <f>Liste06[[#This Row],[Liste]]+Liste06[[#This Row],[Einzel]]</f>
        <v>0</v>
      </c>
      <c r="CE19" s="8"/>
      <c r="CF19" s="3">
        <v>715</v>
      </c>
      <c r="CG19" s="28" t="s">
        <v>489</v>
      </c>
      <c r="CH19" s="9" t="b">
        <f>AND((Liste07[[#This Row],[Wahl]]=0),LEN(Liste07[[#This Row],[Wahl]])=1)</f>
        <v>0</v>
      </c>
      <c r="CI19" s="9">
        <f t="array" ref="CI19">SUM((ROW(Liste07[Platz])&lt;=ROW())*(Liste07[Platz]=Liste07[[#This Row],[Platz]])*NOT(Liste07[IstGestrichen]))*NOT(Liste07[[#This Row],[IstGestrichen]])</f>
        <v>1</v>
      </c>
      <c r="CJ19" s="9">
        <f t="array" ref="CJ19">MIN(SUMIFS(Liste07[Wahl],Liste07[Platz],Liste07[[#This Row],[Platz]]),3)</f>
        <v>0</v>
      </c>
      <c r="CK19" s="9">
        <f>(Liste07[[#This Row],[Mult]]&gt;Liste07[[#This Row],[GülzST2]])*1*NOT(Liste07[[#This Row],[IstGestrichen]])</f>
        <v>1</v>
      </c>
      <c r="CL19" s="9">
        <f>SUMIFS(Liste07[ListPot],Liste07[Platz],Liste07[[#This Row],[Platz]],Liste07[Mult],"&lt;="&amp;Liste07[[#This Row],[Mult]])+SUMIFS(Liste07[ListPot],Liste07[Platz],"&lt;"&amp;Liste07[[#This Row],[Platz]])*Liste07[[#This Row],[ListPot]]</f>
        <v>15</v>
      </c>
      <c r="CM19" s="14">
        <f>IF(AND(NOT(ISBLANK(CE$3)),Liste07[[#This Row],[ListPotKum]]&lt;=Reststimmen),Liste07[[#This Row],[ListPot]],0)</f>
        <v>0</v>
      </c>
      <c r="CN19" s="4">
        <f>MIN(SUMIFS(Liste07[Wahl],Liste07[Platz],Liste07[[#This Row],[Platz]]),3)*(Liste07[[#This Row],[Mult]]=1)*StimmenzahlOk</f>
        <v>0</v>
      </c>
      <c r="CO19" s="15">
        <f>SUMIFS(Liste07[ListVerg],Liste07[Platz],Liste07[[#This Row],[Platz]])*(Liste07[[#This Row],[Mult]]=1)*ListenkreuzeOk</f>
        <v>0</v>
      </c>
      <c r="CP19" s="4">
        <f>Liste07[[#This Row],[Liste]]+Liste07[[#This Row],[Einzel]]</f>
        <v>0</v>
      </c>
      <c r="CR19" s="8"/>
      <c r="CS19" s="3">
        <v>815</v>
      </c>
      <c r="CT19" s="28" t="s">
        <v>540</v>
      </c>
      <c r="CU19" s="9" t="b">
        <f>AND((Liste08[[#This Row],[Wahl]]=0),LEN(Liste08[[#This Row],[Wahl]])=1)</f>
        <v>0</v>
      </c>
      <c r="CV19" s="9">
        <f t="array" ref="CV19">SUM((ROW(Liste08[Platz])&lt;=ROW())*(Liste08[Platz]=Liste08[[#This Row],[Platz]])*NOT(Liste08[IstGestrichen]))*NOT(Liste08[[#This Row],[IstGestrichen]])</f>
        <v>1</v>
      </c>
      <c r="CW19" s="9">
        <f t="array" ref="CW19">MIN(SUMIFS(Liste08[Wahl],Liste08[Platz],Liste08[[#This Row],[Platz]]),3)</f>
        <v>0</v>
      </c>
      <c r="CX19" s="9">
        <f>(Liste08[[#This Row],[Mult]]&gt;Liste08[[#This Row],[GülzST2]])*1*NOT(Liste08[[#This Row],[IstGestrichen]])</f>
        <v>1</v>
      </c>
      <c r="CY19" s="9">
        <f>SUMIFS(Liste08[ListPot],Liste08[Platz],Liste08[[#This Row],[Platz]],Liste08[Mult],"&lt;="&amp;Liste08[[#This Row],[Mult]])+SUMIFS(Liste08[ListPot],Liste08[Platz],"&lt;"&amp;Liste08[[#This Row],[Platz]])*Liste08[[#This Row],[ListPot]]</f>
        <v>15</v>
      </c>
      <c r="CZ19" s="14">
        <f>IF(AND(NOT(ISBLANK(CR$3)),Liste08[[#This Row],[ListPotKum]]&lt;=Reststimmen),Liste08[[#This Row],[ListPot]],0)</f>
        <v>0</v>
      </c>
      <c r="DA19" s="4">
        <f>MIN(SUMIFS(Liste08[Wahl],Liste08[Platz],Liste08[[#This Row],[Platz]]),3)*(Liste08[[#This Row],[Mult]]=1)*StimmenzahlOk</f>
        <v>0</v>
      </c>
      <c r="DB19" s="15">
        <f>SUMIFS(Liste08[ListVerg],Liste08[Platz],Liste08[[#This Row],[Platz]])*(Liste08[[#This Row],[Mult]]=1)*ListenkreuzeOk</f>
        <v>0</v>
      </c>
      <c r="DC19" s="4">
        <f>Liste08[[#This Row],[Liste]]+Liste08[[#This Row],[Einzel]]</f>
        <v>0</v>
      </c>
      <c r="DE19" s="8"/>
      <c r="DF19" s="3"/>
      <c r="DG19" s="28"/>
      <c r="DH19" s="9" t="b">
        <f>AND((Liste09[[#This Row],[Wahl]]=0),LEN(Liste09[[#This Row],[Wahl]])=1)</f>
        <v>0</v>
      </c>
      <c r="DI19" s="9">
        <f t="array" ref="DI19">SUM((ROW(Liste09[Platz])&lt;=ROW())*(Liste09[Platz]=Liste09[[#This Row],[Platz]])*NOT(Liste09[IstGestrichen]))*NOT(Liste09[[#This Row],[IstGestrichen]])</f>
        <v>15</v>
      </c>
      <c r="DJ19" s="9">
        <f t="array" ref="DJ19">MIN(SUMIFS(Liste09[Wahl],Liste09[Platz],Liste09[[#This Row],[Platz]]),3)</f>
        <v>0</v>
      </c>
      <c r="DK19" s="9">
        <f>(Liste09[[#This Row],[Mult]]&gt;Liste09[[#This Row],[GülzST2]])*1*NOT(Liste09[[#This Row],[IstGestrichen]])</f>
        <v>1</v>
      </c>
      <c r="DL19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19" s="14">
        <f>IF(AND(NOT(ISBLANK(DE$3)),Liste09[[#This Row],[ListPotKum]]&lt;=Reststimmen),Liste09[[#This Row],[ListPot]],0)</f>
        <v>0</v>
      </c>
      <c r="DN19" s="4">
        <f>MIN(SUMIFS(Liste09[Wahl],Liste09[Platz],Liste09[[#This Row],[Platz]]),3)*(Liste09[[#This Row],[Mult]]=1)*StimmenzahlOk</f>
        <v>0</v>
      </c>
      <c r="DO19" s="15">
        <f>SUMIFS(Liste09[ListVerg],Liste09[Platz],Liste09[[#This Row],[Platz]])*(Liste09[[#This Row],[Mult]]=1)*ListenkreuzeOk</f>
        <v>0</v>
      </c>
      <c r="DP19" s="4">
        <f>Liste09[[#This Row],[Liste]]+Liste09[[#This Row],[Einzel]]</f>
        <v>0</v>
      </c>
    </row>
    <row r="20" spans="1:120" ht="15.75" x14ac:dyDescent="0.25">
      <c r="A20" s="40" t="s">
        <v>263</v>
      </c>
      <c r="B20" s="17"/>
      <c r="E20" s="8"/>
      <c r="F20" s="3">
        <v>116</v>
      </c>
      <c r="G20" s="2" t="s">
        <v>288</v>
      </c>
      <c r="H20" t="b">
        <f>AND((Liste01[[#This Row],[Wahl]]=0),LEN(Liste01[[#This Row],[Wahl]])=1)</f>
        <v>0</v>
      </c>
      <c r="I20">
        <f t="array" ref="I20">SUM((ROW(Liste01[Platz])&lt;=ROW())*(Liste01[Platz]=Liste01[[#This Row],[Platz]])*NOT(Liste01[IstGestrichen]))*NOT(Liste01[[#This Row],[IstGestrichen]])</f>
        <v>1</v>
      </c>
      <c r="J20">
        <f t="array" ref="J20">MIN(SUMIFS(Liste01[Wahl],Liste01[Platz],Liste01[[#This Row],[Platz]]),3)</f>
        <v>0</v>
      </c>
      <c r="K20">
        <f>(Liste01[[#This Row],[Mult]]&gt;Liste01[[#This Row],[GülzST2]])*1*NOT(Liste01[[#This Row],[IstGestrichen]])</f>
        <v>1</v>
      </c>
      <c r="L20">
        <f>SUMIFS(Liste01[ListPot],Liste01[Platz],Liste01[[#This Row],[Platz]],Liste01[Mult],"&lt;="&amp;Liste01[[#This Row],[Mult]])+SUMIFS(Liste01[ListPot],Liste01[Platz],"&lt;"&amp;Liste01[[#This Row],[Platz]])*Liste01[[#This Row],[ListPot]]</f>
        <v>16</v>
      </c>
      <c r="M20">
        <f>IF(AND(NOT(ISBLANK(E$3)),Liste01[[#This Row],[ListPotKum]]&lt;=Reststimmen),Liste01[[#This Row],[ListPot]],0)</f>
        <v>0</v>
      </c>
      <c r="N20" s="4">
        <f>MIN(SUMIFS(Liste01[Wahl],Liste01[Platz],Liste01[[#This Row],[Platz]]),3)*(Liste01[[#This Row],[Mult]]=1)*StimmenzahlOk</f>
        <v>0</v>
      </c>
      <c r="O20" s="4">
        <f>SUMIFS(Liste01[ListVerg],Liste01[Platz],Liste01[[#This Row],[Platz]])*(Liste01[[#This Row],[Mult]]=1)*ListenkreuzeOk</f>
        <v>0</v>
      </c>
      <c r="P20" s="4">
        <f>Liste01[[#This Row],[Liste]]+Liste01[[#This Row],[Einzel]]</f>
        <v>0</v>
      </c>
      <c r="R20" s="8"/>
      <c r="S20" s="3">
        <v>216</v>
      </c>
      <c r="T20" s="28" t="s">
        <v>338</v>
      </c>
      <c r="U20" t="b">
        <f>AND((Liste02[[#This Row],[Wahl]]=0),LEN(Liste02[[#This Row],[Wahl]])=1)</f>
        <v>0</v>
      </c>
      <c r="V20">
        <f t="array" ref="V20">SUM((ROW(Liste02[Platz])&lt;=ROW())*(Liste02[Platz]=Liste02[[#This Row],[Platz]])*NOT(Liste02[IstGestrichen]))*NOT(Liste02[[#This Row],[IstGestrichen]])</f>
        <v>1</v>
      </c>
      <c r="W20">
        <f t="array" ref="W20">MIN(SUMIFS(Liste02[Wahl],Liste02[Platz],Liste02[[#This Row],[Platz]]),3)</f>
        <v>0</v>
      </c>
      <c r="X20">
        <f>(Liste02[[#This Row],[Mult]]&gt;Liste02[[#This Row],[GülzST2]])*1*NOT(Liste02[[#This Row],[IstGestrichen]])</f>
        <v>1</v>
      </c>
      <c r="Y20">
        <f>SUMIFS(Liste02[ListPot],Liste02[Platz],Liste02[[#This Row],[Platz]],Liste02[Mult],"&lt;="&amp;Liste02[[#This Row],[Mult]])+SUMIFS(Liste02[ListPot],Liste02[Platz],"&lt;"&amp;Liste02[[#This Row],[Platz]])*Liste02[[#This Row],[ListPot]]</f>
        <v>16</v>
      </c>
      <c r="Z20">
        <f>IF(AND(NOT(ISBLANK(R$3)),Liste02[[#This Row],[ListPotKum]]&lt;=Reststimmen),Liste02[[#This Row],[ListPot]],0)</f>
        <v>0</v>
      </c>
      <c r="AA20" s="4">
        <f>MIN(SUMIFS(Liste02[Wahl],Liste02[Platz],Liste02[[#This Row],[Platz]]),3)*(Liste02[[#This Row],[Mult]]=1)*StimmenzahlOk</f>
        <v>0</v>
      </c>
      <c r="AB20" s="4">
        <f>SUMIFS(Liste02[ListVerg],Liste02[Platz],Liste02[[#This Row],[Platz]])*(Liste02[[#This Row],[Mult]]=1)*ListenkreuzeOk</f>
        <v>0</v>
      </c>
      <c r="AC20" s="4">
        <f>Liste02[[#This Row],[Liste]]+Liste02[[#This Row],[Einzel]]</f>
        <v>0</v>
      </c>
      <c r="AE20" s="8"/>
      <c r="AF20" s="3">
        <v>316</v>
      </c>
      <c r="AG20" s="28" t="s">
        <v>388</v>
      </c>
      <c r="AH20" t="b">
        <f>AND((Liste03[[#This Row],[Wahl]]=0),LEN(Liste03[[#This Row],[Wahl]])=1)</f>
        <v>0</v>
      </c>
      <c r="AI20">
        <f t="array" ref="AI20">SUM((ROW(Liste03[Platz])&lt;=ROW())*(Liste03[Platz]=Liste03[[#This Row],[Platz]])*NOT(Liste03[IstGestrichen]))*NOT(Liste03[[#This Row],[IstGestrichen]])</f>
        <v>1</v>
      </c>
      <c r="AJ20">
        <f t="array" ref="AJ20">MIN(SUMIFS(Liste03[Wahl],Liste03[Platz],Liste03[[#This Row],[Platz]]),3)</f>
        <v>0</v>
      </c>
      <c r="AK20">
        <f>(Liste03[[#This Row],[Mult]]&gt;Liste03[[#This Row],[GülzST2]])*1*NOT(Liste03[[#This Row],[IstGestrichen]])</f>
        <v>1</v>
      </c>
      <c r="AL20">
        <f>SUMIFS(Liste03[ListPot],Liste03[Platz],Liste03[[#This Row],[Platz]],Liste03[Mult],"&lt;="&amp;Liste03[[#This Row],[Mult]])+SUMIFS(Liste03[ListPot],Liste03[Platz],"&lt;"&amp;Liste03[[#This Row],[Platz]])*Liste03[[#This Row],[ListPot]]</f>
        <v>16</v>
      </c>
      <c r="AM20">
        <f>IF(AND(NOT(ISBLANK(AE$3)),Liste03[[#This Row],[ListPotKum]]&lt;=Reststimmen),Liste03[[#This Row],[ListPot]],0)</f>
        <v>0</v>
      </c>
      <c r="AN20" s="4">
        <f>MIN(SUMIFS(Liste03[Wahl],Liste03[Platz],Liste03[[#This Row],[Platz]]),3)*(Liste03[[#This Row],[Mult]]=1)*StimmenzahlOk</f>
        <v>0</v>
      </c>
      <c r="AO20" s="4">
        <f>SUMIFS(Liste03[ListVerg],Liste03[Platz],Liste03[[#This Row],[Platz]])*(Liste03[[#This Row],[Mult]]=1)*ListenkreuzeOk</f>
        <v>0</v>
      </c>
      <c r="AP20" s="4">
        <f>Liste03[[#This Row],[Liste]]+Liste03[[#This Row],[Einzel]]</f>
        <v>0</v>
      </c>
      <c r="AR20" s="8"/>
      <c r="AS20" s="3"/>
      <c r="AT20" s="28"/>
      <c r="AU20" t="b">
        <f>AND((Liste04[[#This Row],[Wahl]]=0),LEN(Liste04[[#This Row],[Wahl]])=1)</f>
        <v>0</v>
      </c>
      <c r="AV20">
        <f t="array" ref="AV20">SUM((ROW(Liste04[Platz])&lt;=ROW())*(Liste04[Platz]=Liste04[[#This Row],[Platz]])*NOT(Liste04[IstGestrichen]))*NOT(Liste04[[#This Row],[IstGestrichen]])</f>
        <v>16</v>
      </c>
      <c r="AW20">
        <f t="array" ref="AW20">MIN(SUMIFS(Liste04[Wahl],Liste04[Platz],Liste04[[#This Row],[Platz]]),3)</f>
        <v>0</v>
      </c>
      <c r="AX20">
        <f>(Liste04[[#This Row],[Mult]]&gt;Liste04[[#This Row],[GülzST2]])*1*NOT(Liste04[[#This Row],[IstGestrichen]])</f>
        <v>1</v>
      </c>
      <c r="AY20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0">
        <f>IF(AND(NOT(ISBLANK(AR$3)),Liste04[[#This Row],[ListPotKum]]&lt;=Reststimmen),Liste04[[#This Row],[ListPot]],0)</f>
        <v>0</v>
      </c>
      <c r="BA20" s="4">
        <f>MIN(SUMIFS(Liste04[Wahl],Liste04[Platz],Liste04[[#This Row],[Platz]]),3)*(Liste04[[#This Row],[Mult]]=1)*StimmenzahlOk</f>
        <v>0</v>
      </c>
      <c r="BB20" s="4">
        <f>SUMIFS(Liste04[ListVerg],Liste04[Platz],Liste04[[#This Row],[Platz]])*(Liste04[[#This Row],[Mult]]=1)*ListenkreuzeOk</f>
        <v>0</v>
      </c>
      <c r="BC20" s="4">
        <f>Liste04[[#This Row],[Liste]]+Liste04[[#This Row],[Einzel]]</f>
        <v>0</v>
      </c>
      <c r="BE20" s="8"/>
      <c r="BF20" s="3">
        <v>516</v>
      </c>
      <c r="BG20" s="28" t="s">
        <v>440</v>
      </c>
      <c r="BH20" t="b">
        <f>AND((Liste05[[#This Row],[Wahl]]=0),LEN(Liste05[[#This Row],[Wahl]])=1)</f>
        <v>0</v>
      </c>
      <c r="BI20">
        <f t="array" ref="BI20">SUM((ROW(Liste05[Platz])&lt;=ROW())*(Liste05[Platz]=Liste05[[#This Row],[Platz]])*NOT(Liste05[IstGestrichen]))*NOT(Liste05[[#This Row],[IstGestrichen]])</f>
        <v>1</v>
      </c>
      <c r="BJ20">
        <f t="array" ref="BJ20">MIN(SUMIFS(Liste05[Wahl],Liste05[Platz],Liste05[[#This Row],[Platz]]),3)</f>
        <v>0</v>
      </c>
      <c r="BK20">
        <f>(Liste05[[#This Row],[Mult]]&gt;Liste05[[#This Row],[GülzST2]])*1*NOT(Liste05[[#This Row],[IstGestrichen]])</f>
        <v>1</v>
      </c>
      <c r="BL20">
        <f>SUMIFS(Liste05[ListPot],Liste05[Platz],Liste05[[#This Row],[Platz]],Liste05[Mult],"&lt;="&amp;Liste05[[#This Row],[Mult]])+SUMIFS(Liste05[ListPot],Liste05[Platz],"&lt;"&amp;Liste05[[#This Row],[Platz]])*Liste05[[#This Row],[ListPot]]</f>
        <v>16</v>
      </c>
      <c r="BM20">
        <f>IF(AND(NOT(ISBLANK(BE$3)),Liste05[[#This Row],[ListPotKum]]&lt;=Reststimmen),Liste05[[#This Row],[ListPot]],0)</f>
        <v>0</v>
      </c>
      <c r="BN20" s="4">
        <f>MIN(SUMIFS(Liste05[Wahl],Liste05[Platz],Liste05[[#This Row],[Platz]]),3)*(Liste05[[#This Row],[Mult]]=1)*StimmenzahlOk</f>
        <v>0</v>
      </c>
      <c r="BO20" s="4">
        <f>SUMIFS(Liste05[ListVerg],Liste05[Platz],Liste05[[#This Row],[Platz]])*(Liste05[[#This Row],[Mult]]=1)*ListenkreuzeOk</f>
        <v>0</v>
      </c>
      <c r="BP20" s="4">
        <f>Liste05[[#This Row],[Liste]]+Liste05[[#This Row],[Einzel]]</f>
        <v>0</v>
      </c>
      <c r="BR20" s="8"/>
      <c r="BS20" s="3"/>
      <c r="BT20" s="37"/>
      <c r="BU20" t="b">
        <f>AND((Liste06[[#This Row],[Spalte1]]=0),LEN(Liste06[[#This Row],[Spalte1]])=1)</f>
        <v>0</v>
      </c>
      <c r="BV20">
        <f t="array" ref="BV20">SUM((ROW(Liste06[Spalte2])&lt;=ROW())*(Liste06[Spalte2]=Liste06[[#This Row],[Spalte2]])*NOT(Liste06[IstGestrichen]))*NOT(Liste06[[#This Row],[IstGestrichen]])</f>
        <v>16</v>
      </c>
      <c r="BW20">
        <f t="array" ref="BW20">MIN(SUMIFS(Liste06[Spalte1],Liste06[Spalte2],Liste06[[#This Row],[Spalte2]]),3)</f>
        <v>0</v>
      </c>
      <c r="BX20">
        <f>(Liste06[[#This Row],[Mult]]&gt;Liste06[[#This Row],[GülzST2]])*1*NOT(Liste06[[#This Row],[IstGestrichen]])</f>
        <v>1</v>
      </c>
      <c r="BY20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0">
        <f>IF(AND(NOT(ISBLANK(BR$3)),Liste06[[#This Row],[ListPotKum]]&lt;=Reststimmen),Liste06[[#This Row],[ListPot]],0)</f>
        <v>0</v>
      </c>
      <c r="CA20" s="4">
        <f>MIN(SUMIFS(Liste06[Spalte1],Liste06[Spalte2],Liste06[[#This Row],[Spalte2]]),3)*(Liste06[[#This Row],[Mult]]=1)*StimmenzahlOk</f>
        <v>0</v>
      </c>
      <c r="CB20" s="4">
        <f>SUMIFS(Liste06[ListVerg],Liste06[Spalte2],Liste06[[#This Row],[Spalte2]])*(Liste06[[#This Row],[Mult]]=1)*ListenkreuzeOk</f>
        <v>0</v>
      </c>
      <c r="CC20" s="4">
        <f>Liste06[[#This Row],[Liste]]+Liste06[[#This Row],[Einzel]]</f>
        <v>0</v>
      </c>
      <c r="CE20" s="8"/>
      <c r="CF20" s="3">
        <v>716</v>
      </c>
      <c r="CG20" s="28" t="s">
        <v>490</v>
      </c>
      <c r="CH20" t="b">
        <f>AND((Liste07[[#This Row],[Wahl]]=0),LEN(Liste07[[#This Row],[Wahl]])=1)</f>
        <v>0</v>
      </c>
      <c r="CI20">
        <f t="array" ref="CI20">SUM((ROW(Liste07[Platz])&lt;=ROW())*(Liste07[Platz]=Liste07[[#This Row],[Platz]])*NOT(Liste07[IstGestrichen]))*NOT(Liste07[[#This Row],[IstGestrichen]])</f>
        <v>1</v>
      </c>
      <c r="CJ20">
        <f t="array" ref="CJ20">MIN(SUMIFS(Liste07[Wahl],Liste07[Platz],Liste07[[#This Row],[Platz]]),3)</f>
        <v>0</v>
      </c>
      <c r="CK20">
        <f>(Liste07[[#This Row],[Mult]]&gt;Liste07[[#This Row],[GülzST2]])*1*NOT(Liste07[[#This Row],[IstGestrichen]])</f>
        <v>1</v>
      </c>
      <c r="CL20">
        <f>SUMIFS(Liste07[ListPot],Liste07[Platz],Liste07[[#This Row],[Platz]],Liste07[Mult],"&lt;="&amp;Liste07[[#This Row],[Mult]])+SUMIFS(Liste07[ListPot],Liste07[Platz],"&lt;"&amp;Liste07[[#This Row],[Platz]])*Liste07[[#This Row],[ListPot]]</f>
        <v>16</v>
      </c>
      <c r="CM20">
        <f>IF(AND(NOT(ISBLANK(CE$3)),Liste07[[#This Row],[ListPotKum]]&lt;=Reststimmen),Liste07[[#This Row],[ListPot]],0)</f>
        <v>0</v>
      </c>
      <c r="CN20" s="4">
        <f>MIN(SUMIFS(Liste07[Wahl],Liste07[Platz],Liste07[[#This Row],[Platz]]),3)*(Liste07[[#This Row],[Mult]]=1)*StimmenzahlOk</f>
        <v>0</v>
      </c>
      <c r="CO20" s="4">
        <f>SUMIFS(Liste07[ListVerg],Liste07[Platz],Liste07[[#This Row],[Platz]])*(Liste07[[#This Row],[Mult]]=1)*ListenkreuzeOk</f>
        <v>0</v>
      </c>
      <c r="CP20" s="4">
        <f>Liste07[[#This Row],[Liste]]+Liste07[[#This Row],[Einzel]]</f>
        <v>0</v>
      </c>
      <c r="CR20" s="8"/>
      <c r="CS20" s="3">
        <v>816</v>
      </c>
      <c r="CT20" s="28" t="s">
        <v>541</v>
      </c>
      <c r="CU20" t="b">
        <f>AND((Liste08[[#This Row],[Wahl]]=0),LEN(Liste08[[#This Row],[Wahl]])=1)</f>
        <v>0</v>
      </c>
      <c r="CV20">
        <f t="array" ref="CV20">SUM((ROW(Liste08[Platz])&lt;=ROW())*(Liste08[Platz]=Liste08[[#This Row],[Platz]])*NOT(Liste08[IstGestrichen]))*NOT(Liste08[[#This Row],[IstGestrichen]])</f>
        <v>1</v>
      </c>
      <c r="CW20">
        <f t="array" ref="CW20">MIN(SUMIFS(Liste08[Wahl],Liste08[Platz],Liste08[[#This Row],[Platz]]),3)</f>
        <v>0</v>
      </c>
      <c r="CX20">
        <f>(Liste08[[#This Row],[Mult]]&gt;Liste08[[#This Row],[GülzST2]])*1*NOT(Liste08[[#This Row],[IstGestrichen]])</f>
        <v>1</v>
      </c>
      <c r="CY20">
        <f>SUMIFS(Liste08[ListPot],Liste08[Platz],Liste08[[#This Row],[Platz]],Liste08[Mult],"&lt;="&amp;Liste08[[#This Row],[Mult]])+SUMIFS(Liste08[ListPot],Liste08[Platz],"&lt;"&amp;Liste08[[#This Row],[Platz]])*Liste08[[#This Row],[ListPot]]</f>
        <v>16</v>
      </c>
      <c r="CZ20">
        <f>IF(AND(NOT(ISBLANK(CR$3)),Liste08[[#This Row],[ListPotKum]]&lt;=Reststimmen),Liste08[[#This Row],[ListPot]],0)</f>
        <v>0</v>
      </c>
      <c r="DA20" s="4">
        <f>MIN(SUMIFS(Liste08[Wahl],Liste08[Platz],Liste08[[#This Row],[Platz]]),3)*(Liste08[[#This Row],[Mult]]=1)*StimmenzahlOk</f>
        <v>0</v>
      </c>
      <c r="DB20" s="4">
        <f>SUMIFS(Liste08[ListVerg],Liste08[Platz],Liste08[[#This Row],[Platz]])*(Liste08[[#This Row],[Mult]]=1)*ListenkreuzeOk</f>
        <v>0</v>
      </c>
      <c r="DC20" s="4">
        <f>Liste08[[#This Row],[Liste]]+Liste08[[#This Row],[Einzel]]</f>
        <v>0</v>
      </c>
      <c r="DE20" s="8"/>
      <c r="DF20" s="3"/>
      <c r="DG20" s="28"/>
      <c r="DH20" t="b">
        <f>AND((Liste09[[#This Row],[Wahl]]=0),LEN(Liste09[[#This Row],[Wahl]])=1)</f>
        <v>0</v>
      </c>
      <c r="DI20">
        <f t="array" ref="DI20">SUM((ROW(Liste09[Platz])&lt;=ROW())*(Liste09[Platz]=Liste09[[#This Row],[Platz]])*NOT(Liste09[IstGestrichen]))*NOT(Liste09[[#This Row],[IstGestrichen]])</f>
        <v>16</v>
      </c>
      <c r="DJ20">
        <f t="array" ref="DJ20">MIN(SUMIFS(Liste09[Wahl],Liste09[Platz],Liste09[[#This Row],[Platz]]),3)</f>
        <v>0</v>
      </c>
      <c r="DK20">
        <f>(Liste09[[#This Row],[Mult]]&gt;Liste09[[#This Row],[GülzST2]])*1*NOT(Liste09[[#This Row],[IstGestrichen]])</f>
        <v>1</v>
      </c>
      <c r="DL20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0">
        <f>IF(AND(NOT(ISBLANK(DE$3)),Liste09[[#This Row],[ListPotKum]]&lt;=Reststimmen),Liste09[[#This Row],[ListPot]],0)</f>
        <v>0</v>
      </c>
      <c r="DN20" s="4">
        <f>MIN(SUMIFS(Liste09[Wahl],Liste09[Platz],Liste09[[#This Row],[Platz]]),3)*(Liste09[[#This Row],[Mult]]=1)*StimmenzahlOk</f>
        <v>0</v>
      </c>
      <c r="DO20" s="4">
        <f>SUMIFS(Liste09[ListVerg],Liste09[Platz],Liste09[[#This Row],[Platz]])*(Liste09[[#This Row],[Mult]]=1)*ListenkreuzeOk</f>
        <v>0</v>
      </c>
      <c r="DP20" s="4">
        <f>Liste09[[#This Row],[Liste]]+Liste09[[#This Row],[Einzel]]</f>
        <v>0</v>
      </c>
    </row>
    <row r="21" spans="1:120" ht="15.75" x14ac:dyDescent="0.25">
      <c r="A21" s="40" t="s">
        <v>265</v>
      </c>
      <c r="B21" s="17"/>
      <c r="E21" s="8"/>
      <c r="F21" s="3">
        <v>117</v>
      </c>
      <c r="G21" s="2" t="s">
        <v>289</v>
      </c>
      <c r="H21" t="b">
        <f>AND((Liste01[[#This Row],[Wahl]]=0),LEN(Liste01[[#This Row],[Wahl]])=1)</f>
        <v>0</v>
      </c>
      <c r="I21">
        <f t="array" ref="I21">SUM((ROW(Liste01[Platz])&lt;=ROW())*(Liste01[Platz]=Liste01[[#This Row],[Platz]])*NOT(Liste01[IstGestrichen]))*NOT(Liste01[[#This Row],[IstGestrichen]])</f>
        <v>1</v>
      </c>
      <c r="J21">
        <f t="array" ref="J21">MIN(SUMIFS(Liste01[Wahl],Liste01[Platz],Liste01[[#This Row],[Platz]]),3)</f>
        <v>0</v>
      </c>
      <c r="K21">
        <f>(Liste01[[#This Row],[Mult]]&gt;Liste01[[#This Row],[GülzST2]])*1*NOT(Liste01[[#This Row],[IstGestrichen]])</f>
        <v>1</v>
      </c>
      <c r="L21">
        <f>SUMIFS(Liste01[ListPot],Liste01[Platz],Liste01[[#This Row],[Platz]],Liste01[Mult],"&lt;="&amp;Liste01[[#This Row],[Mult]])+SUMIFS(Liste01[ListPot],Liste01[Platz],"&lt;"&amp;Liste01[[#This Row],[Platz]])*Liste01[[#This Row],[ListPot]]</f>
        <v>17</v>
      </c>
      <c r="M21">
        <f>IF(AND(NOT(ISBLANK(E$3)),Liste01[[#This Row],[ListPotKum]]&lt;=Reststimmen),Liste01[[#This Row],[ListPot]],0)</f>
        <v>0</v>
      </c>
      <c r="N21" s="4">
        <f>MIN(SUMIFS(Liste01[Wahl],Liste01[Platz],Liste01[[#This Row],[Platz]]),3)*(Liste01[[#This Row],[Mult]]=1)*StimmenzahlOk</f>
        <v>0</v>
      </c>
      <c r="O21" s="4">
        <f>SUMIFS(Liste01[ListVerg],Liste01[Platz],Liste01[[#This Row],[Platz]])*(Liste01[[#This Row],[Mult]]=1)*ListenkreuzeOk</f>
        <v>0</v>
      </c>
      <c r="P21" s="4">
        <f>Liste01[[#This Row],[Liste]]+Liste01[[#This Row],[Einzel]]</f>
        <v>0</v>
      </c>
      <c r="R21" s="8"/>
      <c r="S21" s="3">
        <v>217</v>
      </c>
      <c r="T21" s="28" t="s">
        <v>339</v>
      </c>
      <c r="U21" t="b">
        <f>AND((Liste02[[#This Row],[Wahl]]=0),LEN(Liste02[[#This Row],[Wahl]])=1)</f>
        <v>0</v>
      </c>
      <c r="V21">
        <f t="array" ref="V21">SUM((ROW(Liste02[Platz])&lt;=ROW())*(Liste02[Platz]=Liste02[[#This Row],[Platz]])*NOT(Liste02[IstGestrichen]))*NOT(Liste02[[#This Row],[IstGestrichen]])</f>
        <v>1</v>
      </c>
      <c r="W21">
        <f t="array" ref="W21">MIN(SUMIFS(Liste02[Wahl],Liste02[Platz],Liste02[[#This Row],[Platz]]),3)</f>
        <v>0</v>
      </c>
      <c r="X21">
        <f>(Liste02[[#This Row],[Mult]]&gt;Liste02[[#This Row],[GülzST2]])*1*NOT(Liste02[[#This Row],[IstGestrichen]])</f>
        <v>1</v>
      </c>
      <c r="Y21">
        <f>SUMIFS(Liste02[ListPot],Liste02[Platz],Liste02[[#This Row],[Platz]],Liste02[Mult],"&lt;="&amp;Liste02[[#This Row],[Mult]])+SUMIFS(Liste02[ListPot],Liste02[Platz],"&lt;"&amp;Liste02[[#This Row],[Platz]])*Liste02[[#This Row],[ListPot]]</f>
        <v>17</v>
      </c>
      <c r="Z21">
        <f>IF(AND(NOT(ISBLANK(R$3)),Liste02[[#This Row],[ListPotKum]]&lt;=Reststimmen),Liste02[[#This Row],[ListPot]],0)</f>
        <v>0</v>
      </c>
      <c r="AA21" s="4">
        <f>MIN(SUMIFS(Liste02[Wahl],Liste02[Platz],Liste02[[#This Row],[Platz]]),3)*(Liste02[[#This Row],[Mult]]=1)*StimmenzahlOk</f>
        <v>0</v>
      </c>
      <c r="AB21" s="4">
        <f>SUMIFS(Liste02[ListVerg],Liste02[Platz],Liste02[[#This Row],[Platz]])*(Liste02[[#This Row],[Mult]]=1)*ListenkreuzeOk</f>
        <v>0</v>
      </c>
      <c r="AC21" s="4">
        <f>Liste02[[#This Row],[Liste]]+Liste02[[#This Row],[Einzel]]</f>
        <v>0</v>
      </c>
      <c r="AE21" s="8"/>
      <c r="AF21" s="3">
        <v>317</v>
      </c>
      <c r="AG21" s="28" t="s">
        <v>389</v>
      </c>
      <c r="AH21" t="b">
        <f>AND((Liste03[[#This Row],[Wahl]]=0),LEN(Liste03[[#This Row],[Wahl]])=1)</f>
        <v>0</v>
      </c>
      <c r="AI21">
        <f t="array" ref="AI21">SUM((ROW(Liste03[Platz])&lt;=ROW())*(Liste03[Platz]=Liste03[[#This Row],[Platz]])*NOT(Liste03[IstGestrichen]))*NOT(Liste03[[#This Row],[IstGestrichen]])</f>
        <v>1</v>
      </c>
      <c r="AJ21">
        <f t="array" ref="AJ21">MIN(SUMIFS(Liste03[Wahl],Liste03[Platz],Liste03[[#This Row],[Platz]]),3)</f>
        <v>0</v>
      </c>
      <c r="AK21">
        <f>(Liste03[[#This Row],[Mult]]&gt;Liste03[[#This Row],[GülzST2]])*1*NOT(Liste03[[#This Row],[IstGestrichen]])</f>
        <v>1</v>
      </c>
      <c r="AL21">
        <f>SUMIFS(Liste03[ListPot],Liste03[Platz],Liste03[[#This Row],[Platz]],Liste03[Mult],"&lt;="&amp;Liste03[[#This Row],[Mult]])+SUMIFS(Liste03[ListPot],Liste03[Platz],"&lt;"&amp;Liste03[[#This Row],[Platz]])*Liste03[[#This Row],[ListPot]]</f>
        <v>17</v>
      </c>
      <c r="AM21">
        <f>IF(AND(NOT(ISBLANK(AE$3)),Liste03[[#This Row],[ListPotKum]]&lt;=Reststimmen),Liste03[[#This Row],[ListPot]],0)</f>
        <v>0</v>
      </c>
      <c r="AN21" s="4">
        <f>MIN(SUMIFS(Liste03[Wahl],Liste03[Platz],Liste03[[#This Row],[Platz]]),3)*(Liste03[[#This Row],[Mult]]=1)*StimmenzahlOk</f>
        <v>0</v>
      </c>
      <c r="AO21" s="4">
        <f>SUMIFS(Liste03[ListVerg],Liste03[Platz],Liste03[[#This Row],[Platz]])*(Liste03[[#This Row],[Mult]]=1)*ListenkreuzeOk</f>
        <v>0</v>
      </c>
      <c r="AP21" s="4">
        <f>Liste03[[#This Row],[Liste]]+Liste03[[#This Row],[Einzel]]</f>
        <v>0</v>
      </c>
      <c r="AR21" s="8"/>
      <c r="AS21" s="3"/>
      <c r="AT21" s="28"/>
      <c r="AU21" t="b">
        <f>AND((Liste04[[#This Row],[Wahl]]=0),LEN(Liste04[[#This Row],[Wahl]])=1)</f>
        <v>0</v>
      </c>
      <c r="AV21">
        <f t="array" ref="AV21">SUM((ROW(Liste04[Platz])&lt;=ROW())*(Liste04[Platz]=Liste04[[#This Row],[Platz]])*NOT(Liste04[IstGestrichen]))*NOT(Liste04[[#This Row],[IstGestrichen]])</f>
        <v>17</v>
      </c>
      <c r="AW21">
        <f t="array" ref="AW21">MIN(SUMIFS(Liste04[Wahl],Liste04[Platz],Liste04[[#This Row],[Platz]]),3)</f>
        <v>0</v>
      </c>
      <c r="AX21">
        <f>(Liste04[[#This Row],[Mult]]&gt;Liste04[[#This Row],[GülzST2]])*1*NOT(Liste04[[#This Row],[IstGestrichen]])</f>
        <v>1</v>
      </c>
      <c r="AY21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1">
        <f>IF(AND(NOT(ISBLANK(AR$3)),Liste04[[#This Row],[ListPotKum]]&lt;=Reststimmen),Liste04[[#This Row],[ListPot]],0)</f>
        <v>0</v>
      </c>
      <c r="BA21" s="4">
        <f>MIN(SUMIFS(Liste04[Wahl],Liste04[Platz],Liste04[[#This Row],[Platz]]),3)*(Liste04[[#This Row],[Mult]]=1)*StimmenzahlOk</f>
        <v>0</v>
      </c>
      <c r="BB21" s="4">
        <f>SUMIFS(Liste04[ListVerg],Liste04[Platz],Liste04[[#This Row],[Platz]])*(Liste04[[#This Row],[Mult]]=1)*ListenkreuzeOk</f>
        <v>0</v>
      </c>
      <c r="BC21" s="4">
        <f>Liste04[[#This Row],[Liste]]+Liste04[[#This Row],[Einzel]]</f>
        <v>0</v>
      </c>
      <c r="BE21" s="8"/>
      <c r="BF21" s="3">
        <v>517</v>
      </c>
      <c r="BG21" s="28" t="s">
        <v>441</v>
      </c>
      <c r="BH21" t="b">
        <f>AND((Liste05[[#This Row],[Wahl]]=0),LEN(Liste05[[#This Row],[Wahl]])=1)</f>
        <v>0</v>
      </c>
      <c r="BI21">
        <f t="array" ref="BI21">SUM((ROW(Liste05[Platz])&lt;=ROW())*(Liste05[Platz]=Liste05[[#This Row],[Platz]])*NOT(Liste05[IstGestrichen]))*NOT(Liste05[[#This Row],[IstGestrichen]])</f>
        <v>1</v>
      </c>
      <c r="BJ21">
        <f t="array" ref="BJ21">MIN(SUMIFS(Liste05[Wahl],Liste05[Platz],Liste05[[#This Row],[Platz]]),3)</f>
        <v>0</v>
      </c>
      <c r="BK21">
        <f>(Liste05[[#This Row],[Mult]]&gt;Liste05[[#This Row],[GülzST2]])*1*NOT(Liste05[[#This Row],[IstGestrichen]])</f>
        <v>1</v>
      </c>
      <c r="BL21">
        <f>SUMIFS(Liste05[ListPot],Liste05[Platz],Liste05[[#This Row],[Platz]],Liste05[Mult],"&lt;="&amp;Liste05[[#This Row],[Mult]])+SUMIFS(Liste05[ListPot],Liste05[Platz],"&lt;"&amp;Liste05[[#This Row],[Platz]])*Liste05[[#This Row],[ListPot]]</f>
        <v>17</v>
      </c>
      <c r="BM21">
        <f>IF(AND(NOT(ISBLANK(BE$3)),Liste05[[#This Row],[ListPotKum]]&lt;=Reststimmen),Liste05[[#This Row],[ListPot]],0)</f>
        <v>0</v>
      </c>
      <c r="BN21" s="4">
        <f>MIN(SUMIFS(Liste05[Wahl],Liste05[Platz],Liste05[[#This Row],[Platz]]),3)*(Liste05[[#This Row],[Mult]]=1)*StimmenzahlOk</f>
        <v>0</v>
      </c>
      <c r="BO21" s="4">
        <f>SUMIFS(Liste05[ListVerg],Liste05[Platz],Liste05[[#This Row],[Platz]])*(Liste05[[#This Row],[Mult]]=1)*ListenkreuzeOk</f>
        <v>0</v>
      </c>
      <c r="BP21" s="4">
        <f>Liste05[[#This Row],[Liste]]+Liste05[[#This Row],[Einzel]]</f>
        <v>0</v>
      </c>
      <c r="BR21" s="8"/>
      <c r="BS21" s="3"/>
      <c r="BT21" s="28"/>
      <c r="BU21" t="b">
        <f>AND((Liste06[[#This Row],[Spalte1]]=0),LEN(Liste06[[#This Row],[Spalte1]])=1)</f>
        <v>0</v>
      </c>
      <c r="BV21">
        <f t="array" ref="BV21">SUM((ROW(Liste06[Spalte2])&lt;=ROW())*(Liste06[Spalte2]=Liste06[[#This Row],[Spalte2]])*NOT(Liste06[IstGestrichen]))*NOT(Liste06[[#This Row],[IstGestrichen]])</f>
        <v>17</v>
      </c>
      <c r="BW21">
        <f t="array" ref="BW21">MIN(SUMIFS(Liste06[Spalte1],Liste06[Spalte2],Liste06[[#This Row],[Spalte2]]),3)</f>
        <v>0</v>
      </c>
      <c r="BX21">
        <f>(Liste06[[#This Row],[Mult]]&gt;Liste06[[#This Row],[GülzST2]])*1*NOT(Liste06[[#This Row],[IstGestrichen]])</f>
        <v>1</v>
      </c>
      <c r="BY21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1">
        <f>IF(AND(NOT(ISBLANK(BR$3)),Liste06[[#This Row],[ListPotKum]]&lt;=Reststimmen),Liste06[[#This Row],[ListPot]],0)</f>
        <v>0</v>
      </c>
      <c r="CA21" s="4">
        <f>MIN(SUMIFS(Liste06[Spalte1],Liste06[Spalte2],Liste06[[#This Row],[Spalte2]]),3)*(Liste06[[#This Row],[Mult]]=1)*StimmenzahlOk</f>
        <v>0</v>
      </c>
      <c r="CB21" s="4">
        <f>SUMIFS(Liste06[ListVerg],Liste06[Spalte2],Liste06[[#This Row],[Spalte2]])*(Liste06[[#This Row],[Mult]]=1)*ListenkreuzeOk</f>
        <v>0</v>
      </c>
      <c r="CC21" s="4">
        <f>Liste06[[#This Row],[Liste]]+Liste06[[#This Row],[Einzel]]</f>
        <v>0</v>
      </c>
      <c r="CE21" s="8"/>
      <c r="CF21" s="3">
        <v>717</v>
      </c>
      <c r="CG21" s="28" t="s">
        <v>491</v>
      </c>
      <c r="CH21" t="b">
        <f>AND((Liste07[[#This Row],[Wahl]]=0),LEN(Liste07[[#This Row],[Wahl]])=1)</f>
        <v>0</v>
      </c>
      <c r="CI21">
        <f t="array" ref="CI21">SUM((ROW(Liste07[Platz])&lt;=ROW())*(Liste07[Platz]=Liste07[[#This Row],[Platz]])*NOT(Liste07[IstGestrichen]))*NOT(Liste07[[#This Row],[IstGestrichen]])</f>
        <v>1</v>
      </c>
      <c r="CJ21">
        <f t="array" ref="CJ21">MIN(SUMIFS(Liste07[Wahl],Liste07[Platz],Liste07[[#This Row],[Platz]]),3)</f>
        <v>0</v>
      </c>
      <c r="CK21">
        <f>(Liste07[[#This Row],[Mult]]&gt;Liste07[[#This Row],[GülzST2]])*1*NOT(Liste07[[#This Row],[IstGestrichen]])</f>
        <v>1</v>
      </c>
      <c r="CL21">
        <f>SUMIFS(Liste07[ListPot],Liste07[Platz],Liste07[[#This Row],[Platz]],Liste07[Mult],"&lt;="&amp;Liste07[[#This Row],[Mult]])+SUMIFS(Liste07[ListPot],Liste07[Platz],"&lt;"&amp;Liste07[[#This Row],[Platz]])*Liste07[[#This Row],[ListPot]]</f>
        <v>17</v>
      </c>
      <c r="CM21">
        <f>IF(AND(NOT(ISBLANK(CE$3)),Liste07[[#This Row],[ListPotKum]]&lt;=Reststimmen),Liste07[[#This Row],[ListPot]],0)</f>
        <v>0</v>
      </c>
      <c r="CN21" s="4">
        <f>MIN(SUMIFS(Liste07[Wahl],Liste07[Platz],Liste07[[#This Row],[Platz]]),3)*(Liste07[[#This Row],[Mult]]=1)*StimmenzahlOk</f>
        <v>0</v>
      </c>
      <c r="CO21" s="4">
        <f>SUMIFS(Liste07[ListVerg],Liste07[Platz],Liste07[[#This Row],[Platz]])*(Liste07[[#This Row],[Mult]]=1)*ListenkreuzeOk</f>
        <v>0</v>
      </c>
      <c r="CP21" s="4">
        <f>Liste07[[#This Row],[Liste]]+Liste07[[#This Row],[Einzel]]</f>
        <v>0</v>
      </c>
      <c r="CR21" s="8"/>
      <c r="CS21" s="3">
        <v>817</v>
      </c>
      <c r="CT21" s="28" t="s">
        <v>542</v>
      </c>
      <c r="CU21" t="b">
        <f>AND((Liste08[[#This Row],[Wahl]]=0),LEN(Liste08[[#This Row],[Wahl]])=1)</f>
        <v>0</v>
      </c>
      <c r="CV21">
        <f t="array" ref="CV21">SUM((ROW(Liste08[Platz])&lt;=ROW())*(Liste08[Platz]=Liste08[[#This Row],[Platz]])*NOT(Liste08[IstGestrichen]))*NOT(Liste08[[#This Row],[IstGestrichen]])</f>
        <v>1</v>
      </c>
      <c r="CW21">
        <f t="array" ref="CW21">MIN(SUMIFS(Liste08[Wahl],Liste08[Platz],Liste08[[#This Row],[Platz]]),3)</f>
        <v>0</v>
      </c>
      <c r="CX21">
        <f>(Liste08[[#This Row],[Mult]]&gt;Liste08[[#This Row],[GülzST2]])*1*NOT(Liste08[[#This Row],[IstGestrichen]])</f>
        <v>1</v>
      </c>
      <c r="CY21">
        <f>SUMIFS(Liste08[ListPot],Liste08[Platz],Liste08[[#This Row],[Platz]],Liste08[Mult],"&lt;="&amp;Liste08[[#This Row],[Mult]])+SUMIFS(Liste08[ListPot],Liste08[Platz],"&lt;"&amp;Liste08[[#This Row],[Platz]])*Liste08[[#This Row],[ListPot]]</f>
        <v>17</v>
      </c>
      <c r="CZ21">
        <f>IF(AND(NOT(ISBLANK(CR$3)),Liste08[[#This Row],[ListPotKum]]&lt;=Reststimmen),Liste08[[#This Row],[ListPot]],0)</f>
        <v>0</v>
      </c>
      <c r="DA21" s="4">
        <f>MIN(SUMIFS(Liste08[Wahl],Liste08[Platz],Liste08[[#This Row],[Platz]]),3)*(Liste08[[#This Row],[Mult]]=1)*StimmenzahlOk</f>
        <v>0</v>
      </c>
      <c r="DB21" s="4">
        <f>SUMIFS(Liste08[ListVerg],Liste08[Platz],Liste08[[#This Row],[Platz]])*(Liste08[[#This Row],[Mult]]=1)*ListenkreuzeOk</f>
        <v>0</v>
      </c>
      <c r="DC21" s="4">
        <f>Liste08[[#This Row],[Liste]]+Liste08[[#This Row],[Einzel]]</f>
        <v>0</v>
      </c>
      <c r="DE21" s="8"/>
      <c r="DF21" s="3"/>
      <c r="DG21" s="28"/>
      <c r="DH21" t="b">
        <f>AND((Liste09[[#This Row],[Wahl]]=0),LEN(Liste09[[#This Row],[Wahl]])=1)</f>
        <v>0</v>
      </c>
      <c r="DI21">
        <f t="array" ref="DI21">SUM((ROW(Liste09[Platz])&lt;=ROW())*(Liste09[Platz]=Liste09[[#This Row],[Platz]])*NOT(Liste09[IstGestrichen]))*NOT(Liste09[[#This Row],[IstGestrichen]])</f>
        <v>17</v>
      </c>
      <c r="DJ21">
        <f t="array" ref="DJ21">MIN(SUMIFS(Liste09[Wahl],Liste09[Platz],Liste09[[#This Row],[Platz]]),3)</f>
        <v>0</v>
      </c>
      <c r="DK21">
        <f>(Liste09[[#This Row],[Mult]]&gt;Liste09[[#This Row],[GülzST2]])*1*NOT(Liste09[[#This Row],[IstGestrichen]])</f>
        <v>1</v>
      </c>
      <c r="DL21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1">
        <f>IF(AND(NOT(ISBLANK(DE$3)),Liste09[[#This Row],[ListPotKum]]&lt;=Reststimmen),Liste09[[#This Row],[ListPot]],0)</f>
        <v>0</v>
      </c>
      <c r="DN21" s="4">
        <f>MIN(SUMIFS(Liste09[Wahl],Liste09[Platz],Liste09[[#This Row],[Platz]]),3)*(Liste09[[#This Row],[Mult]]=1)*StimmenzahlOk</f>
        <v>0</v>
      </c>
      <c r="DO21" s="4">
        <f>SUMIFS(Liste09[ListVerg],Liste09[Platz],Liste09[[#This Row],[Platz]])*(Liste09[[#This Row],[Mult]]=1)*ListenkreuzeOk</f>
        <v>0</v>
      </c>
      <c r="DP21" s="4">
        <f>Liste09[[#This Row],[Liste]]+Liste09[[#This Row],[Einzel]]</f>
        <v>0</v>
      </c>
    </row>
    <row r="22" spans="1:120" ht="15.75" x14ac:dyDescent="0.25">
      <c r="A22" s="40" t="s">
        <v>266</v>
      </c>
      <c r="B22" s="17"/>
      <c r="E22" s="8"/>
      <c r="F22" s="3">
        <v>118</v>
      </c>
      <c r="G22" s="2" t="s">
        <v>290</v>
      </c>
      <c r="H22" t="b">
        <f>AND((Liste01[[#This Row],[Wahl]]=0),LEN(Liste01[[#This Row],[Wahl]])=1)</f>
        <v>0</v>
      </c>
      <c r="I22">
        <f t="array" ref="I22">SUM((ROW(Liste01[Platz])&lt;=ROW())*(Liste01[Platz]=Liste01[[#This Row],[Platz]])*NOT(Liste01[IstGestrichen]))*NOT(Liste01[[#This Row],[IstGestrichen]])</f>
        <v>1</v>
      </c>
      <c r="J22">
        <f t="array" ref="J22">MIN(SUMIFS(Liste01[Wahl],Liste01[Platz],Liste01[[#This Row],[Platz]]),3)</f>
        <v>0</v>
      </c>
      <c r="K22">
        <f>(Liste01[[#This Row],[Mult]]&gt;Liste01[[#This Row],[GülzST2]])*1*NOT(Liste01[[#This Row],[IstGestrichen]])</f>
        <v>1</v>
      </c>
      <c r="L22">
        <f>SUMIFS(Liste01[ListPot],Liste01[Platz],Liste01[[#This Row],[Platz]],Liste01[Mult],"&lt;="&amp;Liste01[[#This Row],[Mult]])+SUMIFS(Liste01[ListPot],Liste01[Platz],"&lt;"&amp;Liste01[[#This Row],[Platz]])*Liste01[[#This Row],[ListPot]]</f>
        <v>18</v>
      </c>
      <c r="M22">
        <f>IF(AND(NOT(ISBLANK(E$3)),Liste01[[#This Row],[ListPotKum]]&lt;=Reststimmen),Liste01[[#This Row],[ListPot]],0)</f>
        <v>0</v>
      </c>
      <c r="N22" s="4">
        <f>MIN(SUMIFS(Liste01[Wahl],Liste01[Platz],Liste01[[#This Row],[Platz]]),3)*(Liste01[[#This Row],[Mult]]=1)*StimmenzahlOk</f>
        <v>0</v>
      </c>
      <c r="O22" s="4">
        <f>SUMIFS(Liste01[ListVerg],Liste01[Platz],Liste01[[#This Row],[Platz]])*(Liste01[[#This Row],[Mult]]=1)*ListenkreuzeOk</f>
        <v>0</v>
      </c>
      <c r="P22" s="4">
        <f>Liste01[[#This Row],[Liste]]+Liste01[[#This Row],[Einzel]]</f>
        <v>0</v>
      </c>
      <c r="R22" s="8"/>
      <c r="S22" s="3">
        <v>218</v>
      </c>
      <c r="T22" s="28" t="s">
        <v>340</v>
      </c>
      <c r="U22" t="b">
        <f>AND((Liste02[[#This Row],[Wahl]]=0),LEN(Liste02[[#This Row],[Wahl]])=1)</f>
        <v>0</v>
      </c>
      <c r="V22">
        <f t="array" ref="V22">SUM((ROW(Liste02[Platz])&lt;=ROW())*(Liste02[Platz]=Liste02[[#This Row],[Platz]])*NOT(Liste02[IstGestrichen]))*NOT(Liste02[[#This Row],[IstGestrichen]])</f>
        <v>1</v>
      </c>
      <c r="W22">
        <f t="array" ref="W22">MIN(SUMIFS(Liste02[Wahl],Liste02[Platz],Liste02[[#This Row],[Platz]]),3)</f>
        <v>0</v>
      </c>
      <c r="X22">
        <f>(Liste02[[#This Row],[Mult]]&gt;Liste02[[#This Row],[GülzST2]])*1*NOT(Liste02[[#This Row],[IstGestrichen]])</f>
        <v>1</v>
      </c>
      <c r="Y22">
        <f>SUMIFS(Liste02[ListPot],Liste02[Platz],Liste02[[#This Row],[Platz]],Liste02[Mult],"&lt;="&amp;Liste02[[#This Row],[Mult]])+SUMIFS(Liste02[ListPot],Liste02[Platz],"&lt;"&amp;Liste02[[#This Row],[Platz]])*Liste02[[#This Row],[ListPot]]</f>
        <v>18</v>
      </c>
      <c r="Z22">
        <f>IF(AND(NOT(ISBLANK(R$3)),Liste02[[#This Row],[ListPotKum]]&lt;=Reststimmen),Liste02[[#This Row],[ListPot]],0)</f>
        <v>0</v>
      </c>
      <c r="AA22" s="4">
        <f>MIN(SUMIFS(Liste02[Wahl],Liste02[Platz],Liste02[[#This Row],[Platz]]),3)*(Liste02[[#This Row],[Mult]]=1)*StimmenzahlOk</f>
        <v>0</v>
      </c>
      <c r="AB22" s="4">
        <f>SUMIFS(Liste02[ListVerg],Liste02[Platz],Liste02[[#This Row],[Platz]])*(Liste02[[#This Row],[Mult]]=1)*ListenkreuzeOk</f>
        <v>0</v>
      </c>
      <c r="AC22" s="4">
        <f>Liste02[[#This Row],[Liste]]+Liste02[[#This Row],[Einzel]]</f>
        <v>0</v>
      </c>
      <c r="AE22" s="8"/>
      <c r="AF22" s="3">
        <v>318</v>
      </c>
      <c r="AG22" s="28" t="s">
        <v>390</v>
      </c>
      <c r="AH22" t="b">
        <f>AND((Liste03[[#This Row],[Wahl]]=0),LEN(Liste03[[#This Row],[Wahl]])=1)</f>
        <v>0</v>
      </c>
      <c r="AI22">
        <f t="array" ref="AI22">SUM((ROW(Liste03[Platz])&lt;=ROW())*(Liste03[Platz]=Liste03[[#This Row],[Platz]])*NOT(Liste03[IstGestrichen]))*NOT(Liste03[[#This Row],[IstGestrichen]])</f>
        <v>1</v>
      </c>
      <c r="AJ22">
        <f t="array" ref="AJ22">MIN(SUMIFS(Liste03[Wahl],Liste03[Platz],Liste03[[#This Row],[Platz]]),3)</f>
        <v>0</v>
      </c>
      <c r="AK22">
        <f>(Liste03[[#This Row],[Mult]]&gt;Liste03[[#This Row],[GülzST2]])*1*NOT(Liste03[[#This Row],[IstGestrichen]])</f>
        <v>1</v>
      </c>
      <c r="AL22">
        <f>SUMIFS(Liste03[ListPot],Liste03[Platz],Liste03[[#This Row],[Platz]],Liste03[Mult],"&lt;="&amp;Liste03[[#This Row],[Mult]])+SUMIFS(Liste03[ListPot],Liste03[Platz],"&lt;"&amp;Liste03[[#This Row],[Platz]])*Liste03[[#This Row],[ListPot]]</f>
        <v>18</v>
      </c>
      <c r="AM22">
        <f>IF(AND(NOT(ISBLANK(AE$3)),Liste03[[#This Row],[ListPotKum]]&lt;=Reststimmen),Liste03[[#This Row],[ListPot]],0)</f>
        <v>0</v>
      </c>
      <c r="AN22" s="4">
        <f>MIN(SUMIFS(Liste03[Wahl],Liste03[Platz],Liste03[[#This Row],[Platz]]),3)*(Liste03[[#This Row],[Mult]]=1)*StimmenzahlOk</f>
        <v>0</v>
      </c>
      <c r="AO22" s="4">
        <f>SUMIFS(Liste03[ListVerg],Liste03[Platz],Liste03[[#This Row],[Platz]])*(Liste03[[#This Row],[Mult]]=1)*ListenkreuzeOk</f>
        <v>0</v>
      </c>
      <c r="AP22" s="4">
        <f>Liste03[[#This Row],[Liste]]+Liste03[[#This Row],[Einzel]]</f>
        <v>0</v>
      </c>
      <c r="AR22" s="8"/>
      <c r="AS22" s="3"/>
      <c r="AT22" s="28"/>
      <c r="AU22" s="9" t="b">
        <f>AND((Liste04[[#This Row],[Wahl]]=0),LEN(Liste04[[#This Row],[Wahl]])=1)</f>
        <v>0</v>
      </c>
      <c r="AV22" s="9">
        <f t="array" ref="AV22">SUM((ROW(Liste04[Platz])&lt;=ROW())*(Liste04[Platz]=Liste04[[#This Row],[Platz]])*NOT(Liste04[IstGestrichen]))*NOT(Liste04[[#This Row],[IstGestrichen]])</f>
        <v>18</v>
      </c>
      <c r="AW22" s="9">
        <f t="array" ref="AW22">MIN(SUMIFS(Liste04[Wahl],Liste04[Platz],Liste04[[#This Row],[Platz]]),3)</f>
        <v>0</v>
      </c>
      <c r="AX22" s="9">
        <f>(Liste04[[#This Row],[Mult]]&gt;Liste04[[#This Row],[GülzST2]])*1*NOT(Liste04[[#This Row],[IstGestrichen]])</f>
        <v>1</v>
      </c>
      <c r="AY22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2" s="14">
        <f>IF(AND(NOT(ISBLANK(AR$3)),Liste04[[#This Row],[ListPotKum]]&lt;=Reststimmen),Liste04[[#This Row],[ListPot]],0)</f>
        <v>0</v>
      </c>
      <c r="BA22" s="4">
        <f>MIN(SUMIFS(Liste04[Wahl],Liste04[Platz],Liste04[[#This Row],[Platz]]),3)*(Liste04[[#This Row],[Mult]]=1)*StimmenzahlOk</f>
        <v>0</v>
      </c>
      <c r="BB22" s="15">
        <f>SUMIFS(Liste04[ListVerg],Liste04[Platz],Liste04[[#This Row],[Platz]])*(Liste04[[#This Row],[Mult]]=1)*ListenkreuzeOk</f>
        <v>0</v>
      </c>
      <c r="BC22" s="4">
        <f>Liste04[[#This Row],[Liste]]+Liste04[[#This Row],[Einzel]]</f>
        <v>0</v>
      </c>
      <c r="BE22" s="8"/>
      <c r="BF22" s="3">
        <v>518</v>
      </c>
      <c r="BG22" s="28" t="s">
        <v>442</v>
      </c>
      <c r="BH22" t="b">
        <f>AND((Liste05[[#This Row],[Wahl]]=0),LEN(Liste05[[#This Row],[Wahl]])=1)</f>
        <v>0</v>
      </c>
      <c r="BI22">
        <f t="array" ref="BI22">SUM((ROW(Liste05[Platz])&lt;=ROW())*(Liste05[Platz]=Liste05[[#This Row],[Platz]])*NOT(Liste05[IstGestrichen]))*NOT(Liste05[[#This Row],[IstGestrichen]])</f>
        <v>1</v>
      </c>
      <c r="BJ22">
        <f t="array" ref="BJ22">MIN(SUMIFS(Liste05[Wahl],Liste05[Platz],Liste05[[#This Row],[Platz]]),3)</f>
        <v>0</v>
      </c>
      <c r="BK22">
        <f>(Liste05[[#This Row],[Mult]]&gt;Liste05[[#This Row],[GülzST2]])*1*NOT(Liste05[[#This Row],[IstGestrichen]])</f>
        <v>1</v>
      </c>
      <c r="BL22">
        <f>SUMIFS(Liste05[ListPot],Liste05[Platz],Liste05[[#This Row],[Platz]],Liste05[Mult],"&lt;="&amp;Liste05[[#This Row],[Mult]])+SUMIFS(Liste05[ListPot],Liste05[Platz],"&lt;"&amp;Liste05[[#This Row],[Platz]])*Liste05[[#This Row],[ListPot]]</f>
        <v>18</v>
      </c>
      <c r="BM22">
        <f>IF(AND(NOT(ISBLANK(BE$3)),Liste05[[#This Row],[ListPotKum]]&lt;=Reststimmen),Liste05[[#This Row],[ListPot]],0)</f>
        <v>0</v>
      </c>
      <c r="BN22" s="4">
        <f>MIN(SUMIFS(Liste05[Wahl],Liste05[Platz],Liste05[[#This Row],[Platz]]),3)*(Liste05[[#This Row],[Mult]]=1)*StimmenzahlOk</f>
        <v>0</v>
      </c>
      <c r="BO22" s="4">
        <f>SUMIFS(Liste05[ListVerg],Liste05[Platz],Liste05[[#This Row],[Platz]])*(Liste05[[#This Row],[Mult]]=1)*ListenkreuzeOk</f>
        <v>0</v>
      </c>
      <c r="BP22" s="4">
        <f>Liste05[[#This Row],[Liste]]+Liste05[[#This Row],[Einzel]]</f>
        <v>0</v>
      </c>
      <c r="BR22" s="8"/>
      <c r="BS22" s="3"/>
      <c r="BT22" s="28"/>
      <c r="BU22" s="9" t="b">
        <f>AND((Liste06[[#This Row],[Spalte1]]=0),LEN(Liste06[[#This Row],[Spalte1]])=1)</f>
        <v>0</v>
      </c>
      <c r="BV22" s="9">
        <f t="array" ref="BV22">SUM((ROW(Liste06[Spalte2])&lt;=ROW())*(Liste06[Spalte2]=Liste06[[#This Row],[Spalte2]])*NOT(Liste06[IstGestrichen]))*NOT(Liste06[[#This Row],[IstGestrichen]])</f>
        <v>18</v>
      </c>
      <c r="BW22" s="9">
        <f t="array" ref="BW22">MIN(SUMIFS(Liste06[Spalte1],Liste06[Spalte2],Liste06[[#This Row],[Spalte2]]),3)</f>
        <v>0</v>
      </c>
      <c r="BX22" s="9">
        <f>(Liste06[[#This Row],[Mult]]&gt;Liste06[[#This Row],[GülzST2]])*1*NOT(Liste06[[#This Row],[IstGestrichen]])</f>
        <v>1</v>
      </c>
      <c r="BY22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2" s="14">
        <f>IF(AND(NOT(ISBLANK(BR$3)),Liste06[[#This Row],[ListPotKum]]&lt;=Reststimmen),Liste06[[#This Row],[ListPot]],0)</f>
        <v>0</v>
      </c>
      <c r="CA22" s="4">
        <f>MIN(SUMIFS(Liste06[Spalte1],Liste06[Spalte2],Liste06[[#This Row],[Spalte2]]),3)*(Liste06[[#This Row],[Mult]]=1)*StimmenzahlOk</f>
        <v>0</v>
      </c>
      <c r="CB22" s="15">
        <f>SUMIFS(Liste06[ListVerg],Liste06[Spalte2],Liste06[[#This Row],[Spalte2]])*(Liste06[[#This Row],[Mult]]=1)*ListenkreuzeOk</f>
        <v>0</v>
      </c>
      <c r="CC22" s="4">
        <f>Liste06[[#This Row],[Liste]]+Liste06[[#This Row],[Einzel]]</f>
        <v>0</v>
      </c>
      <c r="CE22" s="8"/>
      <c r="CF22" s="3">
        <v>718</v>
      </c>
      <c r="CG22" s="28" t="s">
        <v>492</v>
      </c>
      <c r="CH22" s="9" t="b">
        <f>AND((Liste07[[#This Row],[Wahl]]=0),LEN(Liste07[[#This Row],[Wahl]])=1)</f>
        <v>0</v>
      </c>
      <c r="CI22" s="9">
        <f t="array" ref="CI22">SUM((ROW(Liste07[Platz])&lt;=ROW())*(Liste07[Platz]=Liste07[[#This Row],[Platz]])*NOT(Liste07[IstGestrichen]))*NOT(Liste07[[#This Row],[IstGestrichen]])</f>
        <v>1</v>
      </c>
      <c r="CJ22" s="9">
        <f t="array" ref="CJ22">MIN(SUMIFS(Liste07[Wahl],Liste07[Platz],Liste07[[#This Row],[Platz]]),3)</f>
        <v>0</v>
      </c>
      <c r="CK22" s="9">
        <f>(Liste07[[#This Row],[Mult]]&gt;Liste07[[#This Row],[GülzST2]])*1*NOT(Liste07[[#This Row],[IstGestrichen]])</f>
        <v>1</v>
      </c>
      <c r="CL22" s="9">
        <f>SUMIFS(Liste07[ListPot],Liste07[Platz],Liste07[[#This Row],[Platz]],Liste07[Mult],"&lt;="&amp;Liste07[[#This Row],[Mult]])+SUMIFS(Liste07[ListPot],Liste07[Platz],"&lt;"&amp;Liste07[[#This Row],[Platz]])*Liste07[[#This Row],[ListPot]]</f>
        <v>18</v>
      </c>
      <c r="CM22" s="14">
        <f>IF(AND(NOT(ISBLANK(CE$3)),Liste07[[#This Row],[ListPotKum]]&lt;=Reststimmen),Liste07[[#This Row],[ListPot]],0)</f>
        <v>0</v>
      </c>
      <c r="CN22" s="4">
        <f>MIN(SUMIFS(Liste07[Wahl],Liste07[Platz],Liste07[[#This Row],[Platz]]),3)*(Liste07[[#This Row],[Mult]]=1)*StimmenzahlOk</f>
        <v>0</v>
      </c>
      <c r="CO22" s="15">
        <f>SUMIFS(Liste07[ListVerg],Liste07[Platz],Liste07[[#This Row],[Platz]])*(Liste07[[#This Row],[Mult]]=1)*ListenkreuzeOk</f>
        <v>0</v>
      </c>
      <c r="CP22" s="4">
        <f>Liste07[[#This Row],[Liste]]+Liste07[[#This Row],[Einzel]]</f>
        <v>0</v>
      </c>
      <c r="CR22" s="8"/>
      <c r="CS22" s="3">
        <v>818</v>
      </c>
      <c r="CT22" s="28" t="s">
        <v>543</v>
      </c>
      <c r="CU22" s="9" t="b">
        <f>AND((Liste08[[#This Row],[Wahl]]=0),LEN(Liste08[[#This Row],[Wahl]])=1)</f>
        <v>0</v>
      </c>
      <c r="CV22" s="9">
        <f t="array" ref="CV22">SUM((ROW(Liste08[Platz])&lt;=ROW())*(Liste08[Platz]=Liste08[[#This Row],[Platz]])*NOT(Liste08[IstGestrichen]))*NOT(Liste08[[#This Row],[IstGestrichen]])</f>
        <v>1</v>
      </c>
      <c r="CW22" s="9">
        <f t="array" ref="CW22">MIN(SUMIFS(Liste08[Wahl],Liste08[Platz],Liste08[[#This Row],[Platz]]),3)</f>
        <v>0</v>
      </c>
      <c r="CX22" s="9">
        <f>(Liste08[[#This Row],[Mult]]&gt;Liste08[[#This Row],[GülzST2]])*1*NOT(Liste08[[#This Row],[IstGestrichen]])</f>
        <v>1</v>
      </c>
      <c r="CY22" s="9">
        <f>SUMIFS(Liste08[ListPot],Liste08[Platz],Liste08[[#This Row],[Platz]],Liste08[Mult],"&lt;="&amp;Liste08[[#This Row],[Mult]])+SUMIFS(Liste08[ListPot],Liste08[Platz],"&lt;"&amp;Liste08[[#This Row],[Platz]])*Liste08[[#This Row],[ListPot]]</f>
        <v>18</v>
      </c>
      <c r="CZ22" s="14">
        <f>IF(AND(NOT(ISBLANK(CR$3)),Liste08[[#This Row],[ListPotKum]]&lt;=Reststimmen),Liste08[[#This Row],[ListPot]],0)</f>
        <v>0</v>
      </c>
      <c r="DA22" s="4">
        <f>MIN(SUMIFS(Liste08[Wahl],Liste08[Platz],Liste08[[#This Row],[Platz]]),3)*(Liste08[[#This Row],[Mult]]=1)*StimmenzahlOk</f>
        <v>0</v>
      </c>
      <c r="DB22" s="15">
        <f>SUMIFS(Liste08[ListVerg],Liste08[Platz],Liste08[[#This Row],[Platz]])*(Liste08[[#This Row],[Mult]]=1)*ListenkreuzeOk</f>
        <v>0</v>
      </c>
      <c r="DC22" s="4">
        <f>Liste08[[#This Row],[Liste]]+Liste08[[#This Row],[Einzel]]</f>
        <v>0</v>
      </c>
      <c r="DE22" s="8"/>
      <c r="DF22" s="3"/>
      <c r="DG22" s="28"/>
      <c r="DH22" s="9" t="b">
        <f>AND((Liste09[[#This Row],[Wahl]]=0),LEN(Liste09[[#This Row],[Wahl]])=1)</f>
        <v>0</v>
      </c>
      <c r="DI22" s="9">
        <f t="array" ref="DI22">SUM((ROW(Liste09[Platz])&lt;=ROW())*(Liste09[Platz]=Liste09[[#This Row],[Platz]])*NOT(Liste09[IstGestrichen]))*NOT(Liste09[[#This Row],[IstGestrichen]])</f>
        <v>18</v>
      </c>
      <c r="DJ22" s="9">
        <f t="array" ref="DJ22">MIN(SUMIFS(Liste09[Wahl],Liste09[Platz],Liste09[[#This Row],[Platz]]),3)</f>
        <v>0</v>
      </c>
      <c r="DK22" s="9">
        <f>(Liste09[[#This Row],[Mult]]&gt;Liste09[[#This Row],[GülzST2]])*1*NOT(Liste09[[#This Row],[IstGestrichen]])</f>
        <v>1</v>
      </c>
      <c r="DL22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2" s="14">
        <f>IF(AND(NOT(ISBLANK(DE$3)),Liste09[[#This Row],[ListPotKum]]&lt;=Reststimmen),Liste09[[#This Row],[ListPot]],0)</f>
        <v>0</v>
      </c>
      <c r="DN22" s="4">
        <f>MIN(SUMIFS(Liste09[Wahl],Liste09[Platz],Liste09[[#This Row],[Platz]]),3)*(Liste09[[#This Row],[Mult]]=1)*StimmenzahlOk</f>
        <v>0</v>
      </c>
      <c r="DO22" s="15">
        <f>SUMIFS(Liste09[ListVerg],Liste09[Platz],Liste09[[#This Row],[Platz]])*(Liste09[[#This Row],[Mult]]=1)*ListenkreuzeOk</f>
        <v>0</v>
      </c>
      <c r="DP22" s="4">
        <f>Liste09[[#This Row],[Liste]]+Liste09[[#This Row],[Einzel]]</f>
        <v>0</v>
      </c>
    </row>
    <row r="23" spans="1:120" ht="15.75" x14ac:dyDescent="0.25">
      <c r="A23" s="40" t="s">
        <v>267</v>
      </c>
      <c r="B23" s="17"/>
      <c r="E23" s="8"/>
      <c r="F23" s="3">
        <v>119</v>
      </c>
      <c r="G23" s="2" t="s">
        <v>291</v>
      </c>
      <c r="H23" t="b">
        <f>AND((Liste01[[#This Row],[Wahl]]=0),LEN(Liste01[[#This Row],[Wahl]])=1)</f>
        <v>0</v>
      </c>
      <c r="I23">
        <f t="array" ref="I23">SUM((ROW(Liste01[Platz])&lt;=ROW())*(Liste01[Platz]=Liste01[[#This Row],[Platz]])*NOT(Liste01[IstGestrichen]))*NOT(Liste01[[#This Row],[IstGestrichen]])</f>
        <v>1</v>
      </c>
      <c r="J23">
        <f t="array" ref="J23">MIN(SUMIFS(Liste01[Wahl],Liste01[Platz],Liste01[[#This Row],[Platz]]),3)</f>
        <v>0</v>
      </c>
      <c r="K23">
        <f>(Liste01[[#This Row],[Mult]]&gt;Liste01[[#This Row],[GülzST2]])*1*NOT(Liste01[[#This Row],[IstGestrichen]])</f>
        <v>1</v>
      </c>
      <c r="L23">
        <f>SUMIFS(Liste01[ListPot],Liste01[Platz],Liste01[[#This Row],[Platz]],Liste01[Mult],"&lt;="&amp;Liste01[[#This Row],[Mult]])+SUMIFS(Liste01[ListPot],Liste01[Platz],"&lt;"&amp;Liste01[[#This Row],[Platz]])*Liste01[[#This Row],[ListPot]]</f>
        <v>19</v>
      </c>
      <c r="M23">
        <f>IF(AND(NOT(ISBLANK(E$3)),Liste01[[#This Row],[ListPotKum]]&lt;=Reststimmen),Liste01[[#This Row],[ListPot]],0)</f>
        <v>0</v>
      </c>
      <c r="N23" s="4">
        <f>MIN(SUMIFS(Liste01[Wahl],Liste01[Platz],Liste01[[#This Row],[Platz]]),3)*(Liste01[[#This Row],[Mult]]=1)*StimmenzahlOk</f>
        <v>0</v>
      </c>
      <c r="O23" s="4">
        <f>SUMIFS(Liste01[ListVerg],Liste01[Platz],Liste01[[#This Row],[Platz]])*(Liste01[[#This Row],[Mult]]=1)*ListenkreuzeOk</f>
        <v>0</v>
      </c>
      <c r="P23" s="4">
        <f>Liste01[[#This Row],[Liste]]+Liste01[[#This Row],[Einzel]]</f>
        <v>0</v>
      </c>
      <c r="R23" s="8"/>
      <c r="S23" s="3">
        <v>219</v>
      </c>
      <c r="T23" s="28" t="s">
        <v>341</v>
      </c>
      <c r="U23" t="b">
        <f>AND((Liste02[[#This Row],[Wahl]]=0),LEN(Liste02[[#This Row],[Wahl]])=1)</f>
        <v>0</v>
      </c>
      <c r="V23">
        <f t="array" ref="V23">SUM((ROW(Liste02[Platz])&lt;=ROW())*(Liste02[Platz]=Liste02[[#This Row],[Platz]])*NOT(Liste02[IstGestrichen]))*NOT(Liste02[[#This Row],[IstGestrichen]])</f>
        <v>1</v>
      </c>
      <c r="W23">
        <f t="array" ref="W23">MIN(SUMIFS(Liste02[Wahl],Liste02[Platz],Liste02[[#This Row],[Platz]]),3)</f>
        <v>0</v>
      </c>
      <c r="X23">
        <f>(Liste02[[#This Row],[Mult]]&gt;Liste02[[#This Row],[GülzST2]])*1*NOT(Liste02[[#This Row],[IstGestrichen]])</f>
        <v>1</v>
      </c>
      <c r="Y23">
        <f>SUMIFS(Liste02[ListPot],Liste02[Platz],Liste02[[#This Row],[Platz]],Liste02[Mult],"&lt;="&amp;Liste02[[#This Row],[Mult]])+SUMIFS(Liste02[ListPot],Liste02[Platz],"&lt;"&amp;Liste02[[#This Row],[Platz]])*Liste02[[#This Row],[ListPot]]</f>
        <v>19</v>
      </c>
      <c r="Z23">
        <f>IF(AND(NOT(ISBLANK(R$3)),Liste02[[#This Row],[ListPotKum]]&lt;=Reststimmen),Liste02[[#This Row],[ListPot]],0)</f>
        <v>0</v>
      </c>
      <c r="AA23" s="4">
        <f>MIN(SUMIFS(Liste02[Wahl],Liste02[Platz],Liste02[[#This Row],[Platz]]),3)*(Liste02[[#This Row],[Mult]]=1)*StimmenzahlOk</f>
        <v>0</v>
      </c>
      <c r="AB23" s="4">
        <f>SUMIFS(Liste02[ListVerg],Liste02[Platz],Liste02[[#This Row],[Platz]])*(Liste02[[#This Row],[Mult]]=1)*ListenkreuzeOk</f>
        <v>0</v>
      </c>
      <c r="AC23" s="4">
        <f>Liste02[[#This Row],[Liste]]+Liste02[[#This Row],[Einzel]]</f>
        <v>0</v>
      </c>
      <c r="AE23" s="8"/>
      <c r="AF23" s="3">
        <v>319</v>
      </c>
      <c r="AG23" s="28" t="s">
        <v>391</v>
      </c>
      <c r="AH23" t="b">
        <f>AND((Liste03[[#This Row],[Wahl]]=0),LEN(Liste03[[#This Row],[Wahl]])=1)</f>
        <v>0</v>
      </c>
      <c r="AI23">
        <f t="array" ref="AI23">SUM((ROW(Liste03[Platz])&lt;=ROW())*(Liste03[Platz]=Liste03[[#This Row],[Platz]])*NOT(Liste03[IstGestrichen]))*NOT(Liste03[[#This Row],[IstGestrichen]])</f>
        <v>1</v>
      </c>
      <c r="AJ23">
        <f t="array" ref="AJ23">MIN(SUMIFS(Liste03[Wahl],Liste03[Platz],Liste03[[#This Row],[Platz]]),3)</f>
        <v>0</v>
      </c>
      <c r="AK23">
        <f>(Liste03[[#This Row],[Mult]]&gt;Liste03[[#This Row],[GülzST2]])*1*NOT(Liste03[[#This Row],[IstGestrichen]])</f>
        <v>1</v>
      </c>
      <c r="AL23">
        <f>SUMIFS(Liste03[ListPot],Liste03[Platz],Liste03[[#This Row],[Platz]],Liste03[Mult],"&lt;="&amp;Liste03[[#This Row],[Mult]])+SUMIFS(Liste03[ListPot],Liste03[Platz],"&lt;"&amp;Liste03[[#This Row],[Platz]])*Liste03[[#This Row],[ListPot]]</f>
        <v>19</v>
      </c>
      <c r="AM23">
        <f>IF(AND(NOT(ISBLANK(AE$3)),Liste03[[#This Row],[ListPotKum]]&lt;=Reststimmen),Liste03[[#This Row],[ListPot]],0)</f>
        <v>0</v>
      </c>
      <c r="AN23" s="4">
        <f>MIN(SUMIFS(Liste03[Wahl],Liste03[Platz],Liste03[[#This Row],[Platz]]),3)*(Liste03[[#This Row],[Mult]]=1)*StimmenzahlOk</f>
        <v>0</v>
      </c>
      <c r="AO23" s="4">
        <f>SUMIFS(Liste03[ListVerg],Liste03[Platz],Liste03[[#This Row],[Platz]])*(Liste03[[#This Row],[Mult]]=1)*ListenkreuzeOk</f>
        <v>0</v>
      </c>
      <c r="AP23" s="4">
        <f>Liste03[[#This Row],[Liste]]+Liste03[[#This Row],[Einzel]]</f>
        <v>0</v>
      </c>
      <c r="AR23" s="8"/>
      <c r="AS23" s="3"/>
      <c r="AT23" s="28"/>
      <c r="AU23" t="b">
        <f>AND((Liste04[[#This Row],[Wahl]]=0),LEN(Liste04[[#This Row],[Wahl]])=1)</f>
        <v>0</v>
      </c>
      <c r="AV23">
        <f t="array" ref="AV23">SUM((ROW(Liste04[Platz])&lt;=ROW())*(Liste04[Platz]=Liste04[[#This Row],[Platz]])*NOT(Liste04[IstGestrichen]))*NOT(Liste04[[#This Row],[IstGestrichen]])</f>
        <v>19</v>
      </c>
      <c r="AW23">
        <f t="array" ref="AW23">MIN(SUMIFS(Liste04[Wahl],Liste04[Platz],Liste04[[#This Row],[Platz]]),3)</f>
        <v>0</v>
      </c>
      <c r="AX23">
        <f>(Liste04[[#This Row],[Mult]]&gt;Liste04[[#This Row],[GülzST2]])*1*NOT(Liste04[[#This Row],[IstGestrichen]])</f>
        <v>1</v>
      </c>
      <c r="AY23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3">
        <f>IF(AND(NOT(ISBLANK(AR$3)),Liste04[[#This Row],[ListPotKum]]&lt;=Reststimmen),Liste04[[#This Row],[ListPot]],0)</f>
        <v>0</v>
      </c>
      <c r="BA23" s="4">
        <f>MIN(SUMIFS(Liste04[Wahl],Liste04[Platz],Liste04[[#This Row],[Platz]]),3)*(Liste04[[#This Row],[Mult]]=1)*StimmenzahlOk</f>
        <v>0</v>
      </c>
      <c r="BB23" s="4">
        <f>SUMIFS(Liste04[ListVerg],Liste04[Platz],Liste04[[#This Row],[Platz]])*(Liste04[[#This Row],[Mult]]=1)*ListenkreuzeOk</f>
        <v>0</v>
      </c>
      <c r="BC23" s="4">
        <f>Liste04[[#This Row],[Liste]]+Liste04[[#This Row],[Einzel]]</f>
        <v>0</v>
      </c>
      <c r="BE23" s="8"/>
      <c r="BF23" s="3">
        <v>519</v>
      </c>
      <c r="BG23" s="28" t="s">
        <v>443</v>
      </c>
      <c r="BH23" t="b">
        <f>AND((Liste05[[#This Row],[Wahl]]=0),LEN(Liste05[[#This Row],[Wahl]])=1)</f>
        <v>0</v>
      </c>
      <c r="BI23">
        <f t="array" ref="BI23">SUM((ROW(Liste05[Platz])&lt;=ROW())*(Liste05[Platz]=Liste05[[#This Row],[Platz]])*NOT(Liste05[IstGestrichen]))*NOT(Liste05[[#This Row],[IstGestrichen]])</f>
        <v>1</v>
      </c>
      <c r="BJ23">
        <f t="array" ref="BJ23">MIN(SUMIFS(Liste05[Wahl],Liste05[Platz],Liste05[[#This Row],[Platz]]),3)</f>
        <v>0</v>
      </c>
      <c r="BK23">
        <f>(Liste05[[#This Row],[Mult]]&gt;Liste05[[#This Row],[GülzST2]])*1*NOT(Liste05[[#This Row],[IstGestrichen]])</f>
        <v>1</v>
      </c>
      <c r="BL23">
        <f>SUMIFS(Liste05[ListPot],Liste05[Platz],Liste05[[#This Row],[Platz]],Liste05[Mult],"&lt;="&amp;Liste05[[#This Row],[Mult]])+SUMIFS(Liste05[ListPot],Liste05[Platz],"&lt;"&amp;Liste05[[#This Row],[Platz]])*Liste05[[#This Row],[ListPot]]</f>
        <v>19</v>
      </c>
      <c r="BM23">
        <f>IF(AND(NOT(ISBLANK(BE$3)),Liste05[[#This Row],[ListPotKum]]&lt;=Reststimmen),Liste05[[#This Row],[ListPot]],0)</f>
        <v>0</v>
      </c>
      <c r="BN23" s="4">
        <f>MIN(SUMIFS(Liste05[Wahl],Liste05[Platz],Liste05[[#This Row],[Platz]]),3)*(Liste05[[#This Row],[Mult]]=1)*StimmenzahlOk</f>
        <v>0</v>
      </c>
      <c r="BO23" s="4">
        <f>SUMIFS(Liste05[ListVerg],Liste05[Platz],Liste05[[#This Row],[Platz]])*(Liste05[[#This Row],[Mult]]=1)*ListenkreuzeOk</f>
        <v>0</v>
      </c>
      <c r="BP23" s="4">
        <f>Liste05[[#This Row],[Liste]]+Liste05[[#This Row],[Einzel]]</f>
        <v>0</v>
      </c>
      <c r="BR23" s="8"/>
      <c r="BS23" s="3"/>
      <c r="BT23" s="37"/>
      <c r="BU23" t="b">
        <f>AND((Liste06[[#This Row],[Spalte1]]=0),LEN(Liste06[[#This Row],[Spalte1]])=1)</f>
        <v>0</v>
      </c>
      <c r="BV23">
        <f t="array" ref="BV23">SUM((ROW(Liste06[Spalte2])&lt;=ROW())*(Liste06[Spalte2]=Liste06[[#This Row],[Spalte2]])*NOT(Liste06[IstGestrichen]))*NOT(Liste06[[#This Row],[IstGestrichen]])</f>
        <v>19</v>
      </c>
      <c r="BW23">
        <f t="array" ref="BW23">MIN(SUMIFS(Liste06[Spalte1],Liste06[Spalte2],Liste06[[#This Row],[Spalte2]]),3)</f>
        <v>0</v>
      </c>
      <c r="BX23">
        <f>(Liste06[[#This Row],[Mult]]&gt;Liste06[[#This Row],[GülzST2]])*1*NOT(Liste06[[#This Row],[IstGestrichen]])</f>
        <v>1</v>
      </c>
      <c r="BY23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3">
        <f>IF(AND(NOT(ISBLANK(BR$3)),Liste06[[#This Row],[ListPotKum]]&lt;=Reststimmen),Liste06[[#This Row],[ListPot]],0)</f>
        <v>0</v>
      </c>
      <c r="CA23" s="4">
        <f>MIN(SUMIFS(Liste06[Spalte1],Liste06[Spalte2],Liste06[[#This Row],[Spalte2]]),3)*(Liste06[[#This Row],[Mult]]=1)*StimmenzahlOk</f>
        <v>0</v>
      </c>
      <c r="CB23" s="4">
        <f>SUMIFS(Liste06[ListVerg],Liste06[Spalte2],Liste06[[#This Row],[Spalte2]])*(Liste06[[#This Row],[Mult]]=1)*ListenkreuzeOk</f>
        <v>0</v>
      </c>
      <c r="CC23" s="4">
        <f>Liste06[[#This Row],[Liste]]+Liste06[[#This Row],[Einzel]]</f>
        <v>0</v>
      </c>
      <c r="CE23" s="8"/>
      <c r="CF23" s="3">
        <v>719</v>
      </c>
      <c r="CG23" s="28" t="s">
        <v>493</v>
      </c>
      <c r="CH23" t="b">
        <f>AND((Liste07[[#This Row],[Wahl]]=0),LEN(Liste07[[#This Row],[Wahl]])=1)</f>
        <v>0</v>
      </c>
      <c r="CI23">
        <f t="array" ref="CI23">SUM((ROW(Liste07[Platz])&lt;=ROW())*(Liste07[Platz]=Liste07[[#This Row],[Platz]])*NOT(Liste07[IstGestrichen]))*NOT(Liste07[[#This Row],[IstGestrichen]])</f>
        <v>1</v>
      </c>
      <c r="CJ23">
        <f t="array" ref="CJ23">MIN(SUMIFS(Liste07[Wahl],Liste07[Platz],Liste07[[#This Row],[Platz]]),3)</f>
        <v>0</v>
      </c>
      <c r="CK23">
        <f>(Liste07[[#This Row],[Mult]]&gt;Liste07[[#This Row],[GülzST2]])*1*NOT(Liste07[[#This Row],[IstGestrichen]])</f>
        <v>1</v>
      </c>
      <c r="CL23">
        <f>SUMIFS(Liste07[ListPot],Liste07[Platz],Liste07[[#This Row],[Platz]],Liste07[Mult],"&lt;="&amp;Liste07[[#This Row],[Mult]])+SUMIFS(Liste07[ListPot],Liste07[Platz],"&lt;"&amp;Liste07[[#This Row],[Platz]])*Liste07[[#This Row],[ListPot]]</f>
        <v>19</v>
      </c>
      <c r="CM23">
        <f>IF(AND(NOT(ISBLANK(CE$3)),Liste07[[#This Row],[ListPotKum]]&lt;=Reststimmen),Liste07[[#This Row],[ListPot]],0)</f>
        <v>0</v>
      </c>
      <c r="CN23" s="4">
        <f>MIN(SUMIFS(Liste07[Wahl],Liste07[Platz],Liste07[[#This Row],[Platz]]),3)*(Liste07[[#This Row],[Mult]]=1)*StimmenzahlOk</f>
        <v>0</v>
      </c>
      <c r="CO23" s="4">
        <f>SUMIFS(Liste07[ListVerg],Liste07[Platz],Liste07[[#This Row],[Platz]])*(Liste07[[#This Row],[Mult]]=1)*ListenkreuzeOk</f>
        <v>0</v>
      </c>
      <c r="CP23" s="4">
        <f>Liste07[[#This Row],[Liste]]+Liste07[[#This Row],[Einzel]]</f>
        <v>0</v>
      </c>
      <c r="CR23" s="8"/>
      <c r="CS23" s="3">
        <v>819</v>
      </c>
      <c r="CT23" s="28" t="s">
        <v>544</v>
      </c>
      <c r="CU23" t="b">
        <f>AND((Liste08[[#This Row],[Wahl]]=0),LEN(Liste08[[#This Row],[Wahl]])=1)</f>
        <v>0</v>
      </c>
      <c r="CV23">
        <f t="array" ref="CV23">SUM((ROW(Liste08[Platz])&lt;=ROW())*(Liste08[Platz]=Liste08[[#This Row],[Platz]])*NOT(Liste08[IstGestrichen]))*NOT(Liste08[[#This Row],[IstGestrichen]])</f>
        <v>1</v>
      </c>
      <c r="CW23">
        <f t="array" ref="CW23">MIN(SUMIFS(Liste08[Wahl],Liste08[Platz],Liste08[[#This Row],[Platz]]),3)</f>
        <v>0</v>
      </c>
      <c r="CX23">
        <f>(Liste08[[#This Row],[Mult]]&gt;Liste08[[#This Row],[GülzST2]])*1*NOT(Liste08[[#This Row],[IstGestrichen]])</f>
        <v>1</v>
      </c>
      <c r="CY23">
        <f>SUMIFS(Liste08[ListPot],Liste08[Platz],Liste08[[#This Row],[Platz]],Liste08[Mult],"&lt;="&amp;Liste08[[#This Row],[Mult]])+SUMIFS(Liste08[ListPot],Liste08[Platz],"&lt;"&amp;Liste08[[#This Row],[Platz]])*Liste08[[#This Row],[ListPot]]</f>
        <v>19</v>
      </c>
      <c r="CZ23">
        <f>IF(AND(NOT(ISBLANK(CR$3)),Liste08[[#This Row],[ListPotKum]]&lt;=Reststimmen),Liste08[[#This Row],[ListPot]],0)</f>
        <v>0</v>
      </c>
      <c r="DA23" s="4">
        <f>MIN(SUMIFS(Liste08[Wahl],Liste08[Platz],Liste08[[#This Row],[Platz]]),3)*(Liste08[[#This Row],[Mult]]=1)*StimmenzahlOk</f>
        <v>0</v>
      </c>
      <c r="DB23" s="4">
        <f>SUMIFS(Liste08[ListVerg],Liste08[Platz],Liste08[[#This Row],[Platz]])*(Liste08[[#This Row],[Mult]]=1)*ListenkreuzeOk</f>
        <v>0</v>
      </c>
      <c r="DC23" s="4">
        <f>Liste08[[#This Row],[Liste]]+Liste08[[#This Row],[Einzel]]</f>
        <v>0</v>
      </c>
      <c r="DE23" s="8"/>
      <c r="DF23" s="3"/>
      <c r="DG23" s="28"/>
      <c r="DH23" t="b">
        <f>AND((Liste09[[#This Row],[Wahl]]=0),LEN(Liste09[[#This Row],[Wahl]])=1)</f>
        <v>0</v>
      </c>
      <c r="DI23">
        <f t="array" ref="DI23">SUM((ROW(Liste09[Platz])&lt;=ROW())*(Liste09[Platz]=Liste09[[#This Row],[Platz]])*NOT(Liste09[IstGestrichen]))*NOT(Liste09[[#This Row],[IstGestrichen]])</f>
        <v>19</v>
      </c>
      <c r="DJ23">
        <f t="array" ref="DJ23">MIN(SUMIFS(Liste09[Wahl],Liste09[Platz],Liste09[[#This Row],[Platz]]),3)</f>
        <v>0</v>
      </c>
      <c r="DK23">
        <f>(Liste09[[#This Row],[Mult]]&gt;Liste09[[#This Row],[GülzST2]])*1*NOT(Liste09[[#This Row],[IstGestrichen]])</f>
        <v>1</v>
      </c>
      <c r="DL23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3">
        <f>IF(AND(NOT(ISBLANK(DE$3)),Liste09[[#This Row],[ListPotKum]]&lt;=Reststimmen),Liste09[[#This Row],[ListPot]],0)</f>
        <v>0</v>
      </c>
      <c r="DN23" s="4">
        <f>MIN(SUMIFS(Liste09[Wahl],Liste09[Platz],Liste09[[#This Row],[Platz]]),3)*(Liste09[[#This Row],[Mult]]=1)*StimmenzahlOk</f>
        <v>0</v>
      </c>
      <c r="DO23" s="4">
        <f>SUMIFS(Liste09[ListVerg],Liste09[Platz],Liste09[[#This Row],[Platz]])*(Liste09[[#This Row],[Mult]]=1)*ListenkreuzeOk</f>
        <v>0</v>
      </c>
      <c r="DP23" s="4">
        <f>Liste09[[#This Row],[Liste]]+Liste09[[#This Row],[Einzel]]</f>
        <v>0</v>
      </c>
    </row>
    <row r="24" spans="1:120" ht="15.75" x14ac:dyDescent="0.25">
      <c r="A24" s="40" t="s">
        <v>268</v>
      </c>
      <c r="B24" s="17"/>
      <c r="E24" s="8"/>
      <c r="F24" s="3">
        <v>120</v>
      </c>
      <c r="G24" s="2" t="s">
        <v>292</v>
      </c>
      <c r="H24" s="11" t="b">
        <f>AND((Liste01[[#This Row],[Wahl]]=0),LEN(Liste01[[#This Row],[Wahl]])=1)</f>
        <v>0</v>
      </c>
      <c r="I24" s="11">
        <f t="array" ref="I24">SUM((ROW(Liste01[Platz])&lt;=ROW())*(Liste01[Platz]=Liste01[[#This Row],[Platz]])*NOT(Liste01[IstGestrichen]))*NOT(Liste01[[#This Row],[IstGestrichen]])</f>
        <v>1</v>
      </c>
      <c r="J24" s="11">
        <f t="array" ref="J24">MIN(SUMIFS(Liste01[Wahl],Liste01[Platz],Liste01[[#This Row],[Platz]]),3)</f>
        <v>0</v>
      </c>
      <c r="K24" s="11">
        <f>(Liste01[[#This Row],[Mult]]&gt;Liste01[[#This Row],[GülzST2]])*1*NOT(Liste01[[#This Row],[IstGestrichen]])</f>
        <v>1</v>
      </c>
      <c r="L24" s="11">
        <f>SUMIFS(Liste01[ListPot],Liste01[Platz],Liste01[[#This Row],[Platz]],Liste01[Mult],"&lt;="&amp;Liste01[[#This Row],[Mult]])+SUMIFS(Liste01[ListPot],Liste01[Platz],"&lt;"&amp;Liste01[[#This Row],[Platz]])*Liste01[[#This Row],[ListPot]]</f>
        <v>20</v>
      </c>
      <c r="M24" s="11">
        <f>IF(AND(NOT(ISBLANK(E$3)),Liste01[[#This Row],[ListPotKum]]&lt;=Reststimmen),Liste01[[#This Row],[ListPot]],0)</f>
        <v>0</v>
      </c>
      <c r="N24" s="12">
        <f>MIN(SUMIFS(Liste01[Wahl],Liste01[Platz],Liste01[[#This Row],[Platz]]),3)*(Liste01[[#This Row],[Mult]]=1)*StimmenzahlOk</f>
        <v>0</v>
      </c>
      <c r="O24" s="12">
        <f>SUMIFS(Liste01[ListVerg],Liste01[Platz],Liste01[[#This Row],[Platz]])*(Liste01[[#This Row],[Mult]]=1)*ListenkreuzeOk</f>
        <v>0</v>
      </c>
      <c r="P24" s="12">
        <f>Liste01[[#This Row],[Liste]]+Liste01[[#This Row],[Einzel]]</f>
        <v>0</v>
      </c>
      <c r="R24" s="8"/>
      <c r="S24" s="3">
        <v>220</v>
      </c>
      <c r="T24" s="28" t="s">
        <v>342</v>
      </c>
      <c r="U24" s="11" t="b">
        <f>AND((Liste02[[#This Row],[Wahl]]=0),LEN(Liste02[[#This Row],[Wahl]])=1)</f>
        <v>0</v>
      </c>
      <c r="V24" s="11">
        <f t="array" ref="V24">SUM((ROW(Liste02[Platz])&lt;=ROW())*(Liste02[Platz]=Liste02[[#This Row],[Platz]])*NOT(Liste02[IstGestrichen]))*NOT(Liste02[[#This Row],[IstGestrichen]])</f>
        <v>1</v>
      </c>
      <c r="W24" s="11">
        <f t="array" ref="W24">MIN(SUMIFS(Liste02[Wahl],Liste02[Platz],Liste02[[#This Row],[Platz]]),3)</f>
        <v>0</v>
      </c>
      <c r="X24" s="11">
        <f>(Liste02[[#This Row],[Mult]]&gt;Liste02[[#This Row],[GülzST2]])*1*NOT(Liste02[[#This Row],[IstGestrichen]])</f>
        <v>1</v>
      </c>
      <c r="Y24" s="11">
        <f>SUMIFS(Liste02[ListPot],Liste02[Platz],Liste02[[#This Row],[Platz]],Liste02[Mult],"&lt;="&amp;Liste02[[#This Row],[Mult]])+SUMIFS(Liste02[ListPot],Liste02[Platz],"&lt;"&amp;Liste02[[#This Row],[Platz]])*Liste02[[#This Row],[ListPot]]</f>
        <v>20</v>
      </c>
      <c r="Z24" s="11">
        <f>IF(AND(NOT(ISBLANK(R$3)),Liste02[[#This Row],[ListPotKum]]&lt;=Reststimmen),Liste02[[#This Row],[ListPot]],0)</f>
        <v>0</v>
      </c>
      <c r="AA24" s="12">
        <f>MIN(SUMIFS(Liste02[Wahl],Liste02[Platz],Liste02[[#This Row],[Platz]]),3)*(Liste02[[#This Row],[Mult]]=1)*StimmenzahlOk</f>
        <v>0</v>
      </c>
      <c r="AB24" s="12">
        <f>SUMIFS(Liste02[ListVerg],Liste02[Platz],Liste02[[#This Row],[Platz]])*(Liste02[[#This Row],[Mult]]=1)*ListenkreuzeOk</f>
        <v>0</v>
      </c>
      <c r="AC24" s="12">
        <f>Liste02[[#This Row],[Liste]]+Liste02[[#This Row],[Einzel]]</f>
        <v>0</v>
      </c>
      <c r="AE24" s="8"/>
      <c r="AF24" s="3">
        <v>320</v>
      </c>
      <c r="AG24" s="28" t="s">
        <v>392</v>
      </c>
      <c r="AH24" s="11" t="b">
        <f>AND((Liste03[[#This Row],[Wahl]]=0),LEN(Liste03[[#This Row],[Wahl]])=1)</f>
        <v>0</v>
      </c>
      <c r="AI24" s="11">
        <f t="array" ref="AI24">SUM((ROW(Liste03[Platz])&lt;=ROW())*(Liste03[Platz]=Liste03[[#This Row],[Platz]])*NOT(Liste03[IstGestrichen]))*NOT(Liste03[[#This Row],[IstGestrichen]])</f>
        <v>1</v>
      </c>
      <c r="AJ24" s="11">
        <f t="array" ref="AJ24">MIN(SUMIFS(Liste03[Wahl],Liste03[Platz],Liste03[[#This Row],[Platz]]),3)</f>
        <v>0</v>
      </c>
      <c r="AK24" s="11">
        <f>(Liste03[[#This Row],[Mult]]&gt;Liste03[[#This Row],[GülzST2]])*1*NOT(Liste03[[#This Row],[IstGestrichen]])</f>
        <v>1</v>
      </c>
      <c r="AL24" s="11">
        <f>SUMIFS(Liste03[ListPot],Liste03[Platz],Liste03[[#This Row],[Platz]],Liste03[Mult],"&lt;="&amp;Liste03[[#This Row],[Mult]])+SUMIFS(Liste03[ListPot],Liste03[Platz],"&lt;"&amp;Liste03[[#This Row],[Platz]])*Liste03[[#This Row],[ListPot]]</f>
        <v>20</v>
      </c>
      <c r="AM24" s="11">
        <f>IF(AND(NOT(ISBLANK(AE$3)),Liste03[[#This Row],[ListPotKum]]&lt;=Reststimmen),Liste03[[#This Row],[ListPot]],0)</f>
        <v>0</v>
      </c>
      <c r="AN24" s="12">
        <f>MIN(SUMIFS(Liste03[Wahl],Liste03[Platz],Liste03[[#This Row],[Platz]]),3)*(Liste03[[#This Row],[Mult]]=1)*StimmenzahlOk</f>
        <v>0</v>
      </c>
      <c r="AO24" s="12">
        <f>SUMIFS(Liste03[ListVerg],Liste03[Platz],Liste03[[#This Row],[Platz]])*(Liste03[[#This Row],[Mult]]=1)*ListenkreuzeOk</f>
        <v>0</v>
      </c>
      <c r="AP24" s="12">
        <f>Liste03[[#This Row],[Liste]]+Liste03[[#This Row],[Einzel]]</f>
        <v>0</v>
      </c>
      <c r="AR24" s="8"/>
      <c r="AS24" s="3"/>
      <c r="AT24" s="28"/>
      <c r="AU24" t="b">
        <f>AND((Liste04[[#This Row],[Wahl]]=0),LEN(Liste04[[#This Row],[Wahl]])=1)</f>
        <v>0</v>
      </c>
      <c r="AV24">
        <f t="array" ref="AV24">SUM((ROW(Liste04[Platz])&lt;=ROW())*(Liste04[Platz]=Liste04[[#This Row],[Platz]])*NOT(Liste04[IstGestrichen]))*NOT(Liste04[[#This Row],[IstGestrichen]])</f>
        <v>20</v>
      </c>
      <c r="AW24">
        <f t="array" ref="AW24">MIN(SUMIFS(Liste04[Wahl],Liste04[Platz],Liste04[[#This Row],[Platz]]),3)</f>
        <v>0</v>
      </c>
      <c r="AX24">
        <f>(Liste04[[#This Row],[Mult]]&gt;Liste04[[#This Row],[GülzST2]])*1*NOT(Liste04[[#This Row],[IstGestrichen]])</f>
        <v>1</v>
      </c>
      <c r="AY24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4">
        <f>IF(AND(NOT(ISBLANK(AR$3)),Liste04[[#This Row],[ListPotKum]]&lt;=Reststimmen),Liste04[[#This Row],[ListPot]],0)</f>
        <v>0</v>
      </c>
      <c r="BA24" s="4">
        <f>MIN(SUMIFS(Liste04[Wahl],Liste04[Platz],Liste04[[#This Row],[Platz]]),3)*(Liste04[[#This Row],[Mult]]=1)*StimmenzahlOk</f>
        <v>0</v>
      </c>
      <c r="BB24" s="4">
        <f>SUMIFS(Liste04[ListVerg],Liste04[Platz],Liste04[[#This Row],[Platz]])*(Liste04[[#This Row],[Mult]]=1)*ListenkreuzeOk</f>
        <v>0</v>
      </c>
      <c r="BC24" s="4">
        <f>Liste04[[#This Row],[Liste]]+Liste04[[#This Row],[Einzel]]</f>
        <v>0</v>
      </c>
      <c r="BE24" s="8"/>
      <c r="BF24" s="3">
        <v>520</v>
      </c>
      <c r="BG24" s="28" t="s">
        <v>444</v>
      </c>
      <c r="BH24" s="11" t="b">
        <f>AND((Liste05[[#This Row],[Wahl]]=0),LEN(Liste05[[#This Row],[Wahl]])=1)</f>
        <v>0</v>
      </c>
      <c r="BI24" s="11">
        <f t="array" ref="BI24">SUM((ROW(Liste05[Platz])&lt;=ROW())*(Liste05[Platz]=Liste05[[#This Row],[Platz]])*NOT(Liste05[IstGestrichen]))*NOT(Liste05[[#This Row],[IstGestrichen]])</f>
        <v>1</v>
      </c>
      <c r="BJ24" s="11">
        <f t="array" ref="BJ24">MIN(SUMIFS(Liste05[Wahl],Liste05[Platz],Liste05[[#This Row],[Platz]]),3)</f>
        <v>0</v>
      </c>
      <c r="BK24" s="11">
        <f>(Liste05[[#This Row],[Mult]]&gt;Liste05[[#This Row],[GülzST2]])*1*NOT(Liste05[[#This Row],[IstGestrichen]])</f>
        <v>1</v>
      </c>
      <c r="BL24" s="11">
        <f>SUMIFS(Liste05[ListPot],Liste05[Platz],Liste05[[#This Row],[Platz]],Liste05[Mult],"&lt;="&amp;Liste05[[#This Row],[Mult]])+SUMIFS(Liste05[ListPot],Liste05[Platz],"&lt;"&amp;Liste05[[#This Row],[Platz]])*Liste05[[#This Row],[ListPot]]</f>
        <v>20</v>
      </c>
      <c r="BM24" s="11">
        <f>IF(AND(NOT(ISBLANK(BE$3)),Liste05[[#This Row],[ListPotKum]]&lt;=Reststimmen),Liste05[[#This Row],[ListPot]],0)</f>
        <v>0</v>
      </c>
      <c r="BN24" s="12">
        <f>MIN(SUMIFS(Liste05[Wahl],Liste05[Platz],Liste05[[#This Row],[Platz]]),3)*(Liste05[[#This Row],[Mult]]=1)*StimmenzahlOk</f>
        <v>0</v>
      </c>
      <c r="BO24" s="12">
        <f>SUMIFS(Liste05[ListVerg],Liste05[Platz],Liste05[[#This Row],[Platz]])*(Liste05[[#This Row],[Mult]]=1)*ListenkreuzeOk</f>
        <v>0</v>
      </c>
      <c r="BP24" s="12">
        <f>Liste05[[#This Row],[Liste]]+Liste05[[#This Row],[Einzel]]</f>
        <v>0</v>
      </c>
      <c r="BR24" s="8"/>
      <c r="BS24" s="3"/>
      <c r="BT24" s="28"/>
      <c r="BU24" s="11" t="b">
        <f>AND((Liste06[[#This Row],[Spalte1]]=0),LEN(Liste06[[#This Row],[Spalte1]])=1)</f>
        <v>0</v>
      </c>
      <c r="BV24" s="11">
        <f t="array" ref="BV24">SUM((ROW(Liste06[Spalte2])&lt;=ROW())*(Liste06[Spalte2]=Liste06[[#This Row],[Spalte2]])*NOT(Liste06[IstGestrichen]))*NOT(Liste06[[#This Row],[IstGestrichen]])</f>
        <v>20</v>
      </c>
      <c r="BW24" s="11">
        <f t="array" ref="BW24">MIN(SUMIFS(Liste06[Spalte1],Liste06[Spalte2],Liste06[[#This Row],[Spalte2]]),3)</f>
        <v>0</v>
      </c>
      <c r="BX24" s="11">
        <f>(Liste06[[#This Row],[Mult]]&gt;Liste06[[#This Row],[GülzST2]])*1*NOT(Liste06[[#This Row],[IstGestrichen]])</f>
        <v>1</v>
      </c>
      <c r="BY24" s="11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4" s="11">
        <f>IF(AND(NOT(ISBLANK(BR$3)),Liste06[[#This Row],[ListPotKum]]&lt;=Reststimmen),Liste06[[#This Row],[ListPot]],0)</f>
        <v>0</v>
      </c>
      <c r="CA24" s="12">
        <f>MIN(SUMIFS(Liste06[Spalte1],Liste06[Spalte2],Liste06[[#This Row],[Spalte2]]),3)*(Liste06[[#This Row],[Mult]]=1)*StimmenzahlOk</f>
        <v>0</v>
      </c>
      <c r="CB24" s="12">
        <f>SUMIFS(Liste06[ListVerg],Liste06[Spalte2],Liste06[[#This Row],[Spalte2]])*(Liste06[[#This Row],[Mult]]=1)*ListenkreuzeOk</f>
        <v>0</v>
      </c>
      <c r="CC24" s="12">
        <f>Liste06[[#This Row],[Liste]]+Liste06[[#This Row],[Einzel]]</f>
        <v>0</v>
      </c>
      <c r="CE24" s="8"/>
      <c r="CF24" s="3">
        <v>720</v>
      </c>
      <c r="CG24" s="28" t="s">
        <v>494</v>
      </c>
      <c r="CH24" s="11" t="b">
        <f>AND((Liste07[[#This Row],[Wahl]]=0),LEN(Liste07[[#This Row],[Wahl]])=1)</f>
        <v>0</v>
      </c>
      <c r="CI24" s="11">
        <f t="array" ref="CI24">SUM((ROW(Liste07[Platz])&lt;=ROW())*(Liste07[Platz]=Liste07[[#This Row],[Platz]])*NOT(Liste07[IstGestrichen]))*NOT(Liste07[[#This Row],[IstGestrichen]])</f>
        <v>1</v>
      </c>
      <c r="CJ24" s="11">
        <f t="array" ref="CJ24">MIN(SUMIFS(Liste07[Wahl],Liste07[Platz],Liste07[[#This Row],[Platz]]),3)</f>
        <v>0</v>
      </c>
      <c r="CK24" s="11">
        <f>(Liste07[[#This Row],[Mult]]&gt;Liste07[[#This Row],[GülzST2]])*1*NOT(Liste07[[#This Row],[IstGestrichen]])</f>
        <v>1</v>
      </c>
      <c r="CL24" s="11">
        <f>SUMIFS(Liste07[ListPot],Liste07[Platz],Liste07[[#This Row],[Platz]],Liste07[Mult],"&lt;="&amp;Liste07[[#This Row],[Mult]])+SUMIFS(Liste07[ListPot],Liste07[Platz],"&lt;"&amp;Liste07[[#This Row],[Platz]])*Liste07[[#This Row],[ListPot]]</f>
        <v>20</v>
      </c>
      <c r="CM24" s="11">
        <f>IF(AND(NOT(ISBLANK(CE$3)),Liste07[[#This Row],[ListPotKum]]&lt;=Reststimmen),Liste07[[#This Row],[ListPot]],0)</f>
        <v>0</v>
      </c>
      <c r="CN24" s="12">
        <f>MIN(SUMIFS(Liste07[Wahl],Liste07[Platz],Liste07[[#This Row],[Platz]]),3)*(Liste07[[#This Row],[Mult]]=1)*StimmenzahlOk</f>
        <v>0</v>
      </c>
      <c r="CO24" s="12">
        <f>SUMIFS(Liste07[ListVerg],Liste07[Platz],Liste07[[#This Row],[Platz]])*(Liste07[[#This Row],[Mult]]=1)*ListenkreuzeOk</f>
        <v>0</v>
      </c>
      <c r="CP24" s="12">
        <f>Liste07[[#This Row],[Liste]]+Liste07[[#This Row],[Einzel]]</f>
        <v>0</v>
      </c>
      <c r="CR24" s="8"/>
      <c r="CS24" s="3">
        <v>820</v>
      </c>
      <c r="CT24" s="28" t="s">
        <v>545</v>
      </c>
      <c r="CU24" s="11" t="b">
        <f>AND((Liste08[[#This Row],[Wahl]]=0),LEN(Liste08[[#This Row],[Wahl]])=1)</f>
        <v>0</v>
      </c>
      <c r="CV24" s="11">
        <f t="array" ref="CV24">SUM((ROW(Liste08[Platz])&lt;=ROW())*(Liste08[Platz]=Liste08[[#This Row],[Platz]])*NOT(Liste08[IstGestrichen]))*NOT(Liste08[[#This Row],[IstGestrichen]])</f>
        <v>1</v>
      </c>
      <c r="CW24" s="11">
        <f t="array" ref="CW24">MIN(SUMIFS(Liste08[Wahl],Liste08[Platz],Liste08[[#This Row],[Platz]]),3)</f>
        <v>0</v>
      </c>
      <c r="CX24" s="11">
        <f>(Liste08[[#This Row],[Mult]]&gt;Liste08[[#This Row],[GülzST2]])*1*NOT(Liste08[[#This Row],[IstGestrichen]])</f>
        <v>1</v>
      </c>
      <c r="CY24" s="11">
        <f>SUMIFS(Liste08[ListPot],Liste08[Platz],Liste08[[#This Row],[Platz]],Liste08[Mult],"&lt;="&amp;Liste08[[#This Row],[Mult]])+SUMIFS(Liste08[ListPot],Liste08[Platz],"&lt;"&amp;Liste08[[#This Row],[Platz]])*Liste08[[#This Row],[ListPot]]</f>
        <v>20</v>
      </c>
      <c r="CZ24" s="11">
        <f>IF(AND(NOT(ISBLANK(CR$3)),Liste08[[#This Row],[ListPotKum]]&lt;=Reststimmen),Liste08[[#This Row],[ListPot]],0)</f>
        <v>0</v>
      </c>
      <c r="DA24" s="12">
        <f>MIN(SUMIFS(Liste08[Wahl],Liste08[Platz],Liste08[[#This Row],[Platz]]),3)*(Liste08[[#This Row],[Mult]]=1)*StimmenzahlOk</f>
        <v>0</v>
      </c>
      <c r="DB24" s="12">
        <f>SUMIFS(Liste08[ListVerg],Liste08[Platz],Liste08[[#This Row],[Platz]])*(Liste08[[#This Row],[Mult]]=1)*ListenkreuzeOk</f>
        <v>0</v>
      </c>
      <c r="DC24" s="12">
        <f>Liste08[[#This Row],[Liste]]+Liste08[[#This Row],[Einzel]]</f>
        <v>0</v>
      </c>
      <c r="DE24" s="8"/>
      <c r="DF24" s="3"/>
      <c r="DG24" s="28"/>
      <c r="DH24" t="b">
        <f>AND((Liste09[[#This Row],[Wahl]]=0),LEN(Liste09[[#This Row],[Wahl]])=1)</f>
        <v>0</v>
      </c>
      <c r="DI24">
        <f t="array" ref="DI24">SUM((ROW(Liste09[Platz])&lt;=ROW())*(Liste09[Platz]=Liste09[[#This Row],[Platz]])*NOT(Liste09[IstGestrichen]))*NOT(Liste09[[#This Row],[IstGestrichen]])</f>
        <v>20</v>
      </c>
      <c r="DJ24">
        <f t="array" ref="DJ24">MIN(SUMIFS(Liste09[Wahl],Liste09[Platz],Liste09[[#This Row],[Platz]]),3)</f>
        <v>0</v>
      </c>
      <c r="DK24">
        <f>(Liste09[[#This Row],[Mult]]&gt;Liste09[[#This Row],[GülzST2]])*1*NOT(Liste09[[#This Row],[IstGestrichen]])</f>
        <v>1</v>
      </c>
      <c r="DL24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4">
        <f>IF(AND(NOT(ISBLANK(DE$3)),Liste09[[#This Row],[ListPotKum]]&lt;=Reststimmen),Liste09[[#This Row],[ListPot]],0)</f>
        <v>0</v>
      </c>
      <c r="DN24" s="4">
        <f>MIN(SUMIFS(Liste09[Wahl],Liste09[Platz],Liste09[[#This Row],[Platz]]),3)*(Liste09[[#This Row],[Mult]]=1)*StimmenzahlOk</f>
        <v>0</v>
      </c>
      <c r="DO24" s="4">
        <f>SUMIFS(Liste09[ListVerg],Liste09[Platz],Liste09[[#This Row],[Platz]])*(Liste09[[#This Row],[Mult]]=1)*ListenkreuzeOk</f>
        <v>0</v>
      </c>
      <c r="DP24" s="4">
        <f>Liste09[[#This Row],[Liste]]+Liste09[[#This Row],[Einzel]]</f>
        <v>0</v>
      </c>
    </row>
    <row r="25" spans="1:120" ht="15.75" x14ac:dyDescent="0.25">
      <c r="A25" s="40" t="s">
        <v>269</v>
      </c>
      <c r="B25" s="17"/>
      <c r="E25" s="8"/>
      <c r="F25" s="3">
        <v>121</v>
      </c>
      <c r="G25" s="2" t="s">
        <v>293</v>
      </c>
      <c r="H25" s="9" t="b">
        <f>AND((Liste01[[#This Row],[Wahl]]=0),LEN(Liste01[[#This Row],[Wahl]])=1)</f>
        <v>0</v>
      </c>
      <c r="I25" s="9">
        <f t="array" ref="I25">SUM((ROW(Liste01[Platz])&lt;=ROW())*(Liste01[Platz]=Liste01[[#This Row],[Platz]])*NOT(Liste01[IstGestrichen]))*NOT(Liste01[[#This Row],[IstGestrichen]])</f>
        <v>1</v>
      </c>
      <c r="J25" s="9">
        <f t="array" ref="J25">MIN(SUMIFS(Liste01[Wahl],Liste01[Platz],Liste01[[#This Row],[Platz]]),3)</f>
        <v>0</v>
      </c>
      <c r="K25" s="9">
        <f>(Liste01[[#This Row],[Mult]]&gt;Liste01[[#This Row],[GülzST2]])*1*NOT(Liste01[[#This Row],[IstGestrichen]])</f>
        <v>1</v>
      </c>
      <c r="L25" s="9">
        <f>SUMIFS(Liste01[ListPot],Liste01[Platz],Liste01[[#This Row],[Platz]],Liste01[Mult],"&lt;="&amp;Liste01[[#This Row],[Mult]])+SUMIFS(Liste01[ListPot],Liste01[Platz],"&lt;"&amp;Liste01[[#This Row],[Platz]])*Liste01[[#This Row],[ListPot]]</f>
        <v>21</v>
      </c>
      <c r="M25" s="9">
        <f>IF(AND(NOT(ISBLANK(E$3)),Liste01[[#This Row],[ListPotKum]]&lt;=Reststimmen),Liste01[[#This Row],[ListPot]],0)</f>
        <v>0</v>
      </c>
      <c r="N25" s="4">
        <f>MIN(SUMIFS(Liste01[Wahl],Liste01[Platz],Liste01[[#This Row],[Platz]]),3)*(Liste01[[#This Row],[Mult]]=1)*StimmenzahlOk</f>
        <v>0</v>
      </c>
      <c r="O25" s="4">
        <f>SUMIFS(Liste01[ListVerg],Liste01[Platz],Liste01[[#This Row],[Platz]])*(Liste01[[#This Row],[Mult]]=1)*ListenkreuzeOk</f>
        <v>0</v>
      </c>
      <c r="P25" s="4">
        <f>Liste01[[#This Row],[Liste]]+Liste01[[#This Row],[Einzel]]</f>
        <v>0</v>
      </c>
      <c r="R25" s="8"/>
      <c r="S25" s="3">
        <v>221</v>
      </c>
      <c r="T25" s="28" t="s">
        <v>343</v>
      </c>
      <c r="U25" s="9" t="b">
        <f>AND((Liste02[[#This Row],[Wahl]]=0),LEN(Liste02[[#This Row],[Wahl]])=1)</f>
        <v>0</v>
      </c>
      <c r="V25" s="9">
        <f t="array" ref="V25">SUM((ROW(Liste02[Platz])&lt;=ROW())*(Liste02[Platz]=Liste02[[#This Row],[Platz]])*NOT(Liste02[IstGestrichen]))*NOT(Liste02[[#This Row],[IstGestrichen]])</f>
        <v>1</v>
      </c>
      <c r="W25" s="9">
        <f t="array" ref="W25">MIN(SUMIFS(Liste02[Wahl],Liste02[Platz],Liste02[[#This Row],[Platz]]),3)</f>
        <v>0</v>
      </c>
      <c r="X25" s="9">
        <f>(Liste02[[#This Row],[Mult]]&gt;Liste02[[#This Row],[GülzST2]])*1*NOT(Liste02[[#This Row],[IstGestrichen]])</f>
        <v>1</v>
      </c>
      <c r="Y25" s="9">
        <f>SUMIFS(Liste02[ListPot],Liste02[Platz],Liste02[[#This Row],[Platz]],Liste02[Mult],"&lt;="&amp;Liste02[[#This Row],[Mult]])+SUMIFS(Liste02[ListPot],Liste02[Platz],"&lt;"&amp;Liste02[[#This Row],[Platz]])*Liste02[[#This Row],[ListPot]]</f>
        <v>21</v>
      </c>
      <c r="Z25" s="9">
        <f>IF(AND(NOT(ISBLANK(R$3)),Liste02[[#This Row],[ListPotKum]]&lt;=Reststimmen),Liste02[[#This Row],[ListPot]],0)</f>
        <v>0</v>
      </c>
      <c r="AA25" s="4">
        <f>MIN(SUMIFS(Liste02[Wahl],Liste02[Platz],Liste02[[#This Row],[Platz]]),3)*(Liste02[[#This Row],[Mult]]=1)*StimmenzahlOk</f>
        <v>0</v>
      </c>
      <c r="AB25" s="4">
        <f>SUMIFS(Liste02[ListVerg],Liste02[Platz],Liste02[[#This Row],[Platz]])*(Liste02[[#This Row],[Mult]]=1)*ListenkreuzeOk</f>
        <v>0</v>
      </c>
      <c r="AC25" s="4">
        <f>Liste02[[#This Row],[Liste]]+Liste02[[#This Row],[Einzel]]</f>
        <v>0</v>
      </c>
      <c r="AE25" s="8"/>
      <c r="AF25" s="3">
        <v>321</v>
      </c>
      <c r="AG25" s="28" t="s">
        <v>393</v>
      </c>
      <c r="AH25" s="9" t="b">
        <f>AND((Liste03[[#This Row],[Wahl]]=0),LEN(Liste03[[#This Row],[Wahl]])=1)</f>
        <v>0</v>
      </c>
      <c r="AI25" s="9">
        <f t="array" ref="AI25">SUM((ROW(Liste03[Platz])&lt;=ROW())*(Liste03[Platz]=Liste03[[#This Row],[Platz]])*NOT(Liste03[IstGestrichen]))*NOT(Liste03[[#This Row],[IstGestrichen]])</f>
        <v>1</v>
      </c>
      <c r="AJ25" s="9">
        <f t="array" ref="AJ25">MIN(SUMIFS(Liste03[Wahl],Liste03[Platz],Liste03[[#This Row],[Platz]]),3)</f>
        <v>0</v>
      </c>
      <c r="AK25" s="9">
        <f>(Liste03[[#This Row],[Mult]]&gt;Liste03[[#This Row],[GülzST2]])*1*NOT(Liste03[[#This Row],[IstGestrichen]])</f>
        <v>1</v>
      </c>
      <c r="AL25" s="9">
        <f>SUMIFS(Liste03[ListPot],Liste03[Platz],Liste03[[#This Row],[Platz]],Liste03[Mult],"&lt;="&amp;Liste03[[#This Row],[Mult]])+SUMIFS(Liste03[ListPot],Liste03[Platz],"&lt;"&amp;Liste03[[#This Row],[Platz]])*Liste03[[#This Row],[ListPot]]</f>
        <v>21</v>
      </c>
      <c r="AM25" s="9">
        <f>IF(AND(NOT(ISBLANK(AE$3)),Liste03[[#This Row],[ListPotKum]]&lt;=Reststimmen),Liste03[[#This Row],[ListPot]],0)</f>
        <v>0</v>
      </c>
      <c r="AN25" s="4">
        <f>MIN(SUMIFS(Liste03[Wahl],Liste03[Platz],Liste03[[#This Row],[Platz]]),3)*(Liste03[[#This Row],[Mult]]=1)*StimmenzahlOk</f>
        <v>0</v>
      </c>
      <c r="AO25" s="4">
        <f>SUMIFS(Liste03[ListVerg],Liste03[Platz],Liste03[[#This Row],[Platz]])*(Liste03[[#This Row],[Mult]]=1)*ListenkreuzeOk</f>
        <v>0</v>
      </c>
      <c r="AP25" s="4">
        <f>Liste03[[#This Row],[Liste]]+Liste03[[#This Row],[Einzel]]</f>
        <v>0</v>
      </c>
      <c r="AR25" s="42"/>
      <c r="AS25" s="3"/>
      <c r="AT25" s="37"/>
      <c r="AU25" s="9" t="b">
        <f>AND((Liste04[[#This Row],[Wahl]]=0),LEN(Liste04[[#This Row],[Wahl]])=1)</f>
        <v>0</v>
      </c>
      <c r="AV25" s="9">
        <f t="array" ref="AV25">SUM((ROW(Liste04[Platz])&lt;=ROW())*(Liste04[Platz]=Liste04[[#This Row],[Platz]])*NOT(Liste04[IstGestrichen]))*NOT(Liste04[[#This Row],[IstGestrichen]])</f>
        <v>21</v>
      </c>
      <c r="AW25" s="9">
        <f t="array" ref="AW25">MIN(SUMIFS(Liste04[Wahl],Liste04[Platz],Liste04[[#This Row],[Platz]]),3)</f>
        <v>0</v>
      </c>
      <c r="AX25" s="9">
        <f>(Liste04[[#This Row],[Mult]]&gt;Liste04[[#This Row],[GülzST2]])*1*NOT(Liste04[[#This Row],[IstGestrichen]])</f>
        <v>1</v>
      </c>
      <c r="AY25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5" s="14">
        <f>IF(AND(NOT(ISBLANK(AR$3)),Liste04[[#This Row],[ListPotKum]]&lt;=Reststimmen),Liste04[[#This Row],[ListPot]],0)</f>
        <v>0</v>
      </c>
      <c r="BA25" s="4">
        <f>MIN(SUMIFS(Liste04[Wahl],Liste04[Platz],Liste04[[#This Row],[Platz]]),3)*(Liste04[[#This Row],[Mult]]=1)*StimmenzahlOk</f>
        <v>0</v>
      </c>
      <c r="BB25" s="15">
        <f>SUMIFS(Liste04[ListVerg],Liste04[Platz],Liste04[[#This Row],[Platz]])*(Liste04[[#This Row],[Mult]]=1)*ListenkreuzeOk</f>
        <v>0</v>
      </c>
      <c r="BC25" s="4">
        <f>Liste04[[#This Row],[Liste]]+Liste04[[#This Row],[Einzel]]</f>
        <v>0</v>
      </c>
      <c r="BE25" s="8"/>
      <c r="BF25" s="3">
        <v>521</v>
      </c>
      <c r="BG25" s="28" t="s">
        <v>445</v>
      </c>
      <c r="BH25" s="9" t="b">
        <f>AND((Liste05[[#This Row],[Wahl]]=0),LEN(Liste05[[#This Row],[Wahl]])=1)</f>
        <v>0</v>
      </c>
      <c r="BI25" s="9">
        <f t="array" ref="BI25">SUM((ROW(Liste05[Platz])&lt;=ROW())*(Liste05[Platz]=Liste05[[#This Row],[Platz]])*NOT(Liste05[IstGestrichen]))*NOT(Liste05[[#This Row],[IstGestrichen]])</f>
        <v>1</v>
      </c>
      <c r="BJ25" s="9">
        <f t="array" ref="BJ25">MIN(SUMIFS(Liste05[Wahl],Liste05[Platz],Liste05[[#This Row],[Platz]]),3)</f>
        <v>0</v>
      </c>
      <c r="BK25" s="9">
        <f>(Liste05[[#This Row],[Mult]]&gt;Liste05[[#This Row],[GülzST2]])*1*NOT(Liste05[[#This Row],[IstGestrichen]])</f>
        <v>1</v>
      </c>
      <c r="BL25" s="9">
        <f>SUMIFS(Liste05[ListPot],Liste05[Platz],Liste05[[#This Row],[Platz]],Liste05[Mult],"&lt;="&amp;Liste05[[#This Row],[Mult]])+SUMIFS(Liste05[ListPot],Liste05[Platz],"&lt;"&amp;Liste05[[#This Row],[Platz]])*Liste05[[#This Row],[ListPot]]</f>
        <v>21</v>
      </c>
      <c r="BM25" s="9">
        <f>IF(AND(NOT(ISBLANK(BE$3)),Liste05[[#This Row],[ListPotKum]]&lt;=Reststimmen),Liste05[[#This Row],[ListPot]],0)</f>
        <v>0</v>
      </c>
      <c r="BN25" s="4">
        <f>MIN(SUMIFS(Liste05[Wahl],Liste05[Platz],Liste05[[#This Row],[Platz]]),3)*(Liste05[[#This Row],[Mult]]=1)*StimmenzahlOk</f>
        <v>0</v>
      </c>
      <c r="BO25" s="4">
        <f>SUMIFS(Liste05[ListVerg],Liste05[Platz],Liste05[[#This Row],[Platz]])*(Liste05[[#This Row],[Mult]]=1)*ListenkreuzeOk</f>
        <v>0</v>
      </c>
      <c r="BP25" s="4">
        <f>Liste05[[#This Row],[Liste]]+Liste05[[#This Row],[Einzel]]</f>
        <v>0</v>
      </c>
      <c r="BR25" s="8"/>
      <c r="BS25" s="3"/>
      <c r="BT25" s="28"/>
      <c r="BU25" s="9" t="b">
        <f>AND((Liste06[[#This Row],[Spalte1]]=0),LEN(Liste06[[#This Row],[Spalte1]])=1)</f>
        <v>0</v>
      </c>
      <c r="BV25" s="9">
        <f t="array" ref="BV25">SUM((ROW(Liste06[Spalte2])&lt;=ROW())*(Liste06[Spalte2]=Liste06[[#This Row],[Spalte2]])*NOT(Liste06[IstGestrichen]))*NOT(Liste06[[#This Row],[IstGestrichen]])</f>
        <v>21</v>
      </c>
      <c r="BW25" s="9">
        <f t="array" ref="BW25">MIN(SUMIFS(Liste06[Spalte1],Liste06[Spalte2],Liste06[[#This Row],[Spalte2]]),3)</f>
        <v>0</v>
      </c>
      <c r="BX25" s="9">
        <f>(Liste06[[#This Row],[Mult]]&gt;Liste06[[#This Row],[GülzST2]])*1*NOT(Liste06[[#This Row],[IstGestrichen]])</f>
        <v>1</v>
      </c>
      <c r="BY25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5" s="14">
        <f>IF(AND(NOT(ISBLANK(BR$3)),Liste06[[#This Row],[ListPotKum]]&lt;=Reststimmen),Liste06[[#This Row],[ListPot]],0)</f>
        <v>0</v>
      </c>
      <c r="CA25" s="4">
        <f>MIN(SUMIFS(Liste06[Spalte1],Liste06[Spalte2],Liste06[[#This Row],[Spalte2]]),3)*(Liste06[[#This Row],[Mult]]=1)*StimmenzahlOk</f>
        <v>0</v>
      </c>
      <c r="CB25" s="15">
        <f>SUMIFS(Liste06[ListVerg],Liste06[Spalte2],Liste06[[#This Row],[Spalte2]])*(Liste06[[#This Row],[Mult]]=1)*ListenkreuzeOk</f>
        <v>0</v>
      </c>
      <c r="CC25" s="4">
        <f>Liste06[[#This Row],[Liste]]+Liste06[[#This Row],[Einzel]]</f>
        <v>0</v>
      </c>
      <c r="CE25" s="8"/>
      <c r="CF25" s="3">
        <v>721</v>
      </c>
      <c r="CG25" s="28" t="s">
        <v>495</v>
      </c>
      <c r="CH25" s="9" t="b">
        <f>AND((Liste07[[#This Row],[Wahl]]=0),LEN(Liste07[[#This Row],[Wahl]])=1)</f>
        <v>0</v>
      </c>
      <c r="CI25" s="9">
        <f t="array" ref="CI25">SUM((ROW(Liste07[Platz])&lt;=ROW())*(Liste07[Platz]=Liste07[[#This Row],[Platz]])*NOT(Liste07[IstGestrichen]))*NOT(Liste07[[#This Row],[IstGestrichen]])</f>
        <v>1</v>
      </c>
      <c r="CJ25" s="9">
        <f t="array" ref="CJ25">MIN(SUMIFS(Liste07[Wahl],Liste07[Platz],Liste07[[#This Row],[Platz]]),3)</f>
        <v>0</v>
      </c>
      <c r="CK25" s="9">
        <f>(Liste07[[#This Row],[Mult]]&gt;Liste07[[#This Row],[GülzST2]])*1*NOT(Liste07[[#This Row],[IstGestrichen]])</f>
        <v>1</v>
      </c>
      <c r="CL25" s="9">
        <f>SUMIFS(Liste07[ListPot],Liste07[Platz],Liste07[[#This Row],[Platz]],Liste07[Mult],"&lt;="&amp;Liste07[[#This Row],[Mult]])+SUMIFS(Liste07[ListPot],Liste07[Platz],"&lt;"&amp;Liste07[[#This Row],[Platz]])*Liste07[[#This Row],[ListPot]]</f>
        <v>21</v>
      </c>
      <c r="CM25" s="14">
        <f>IF(AND(NOT(ISBLANK(CE$3)),Liste07[[#This Row],[ListPotKum]]&lt;=Reststimmen),Liste07[[#This Row],[ListPot]],0)</f>
        <v>0</v>
      </c>
      <c r="CN25" s="4">
        <f>MIN(SUMIFS(Liste07[Wahl],Liste07[Platz],Liste07[[#This Row],[Platz]]),3)*(Liste07[[#This Row],[Mult]]=1)*StimmenzahlOk</f>
        <v>0</v>
      </c>
      <c r="CO25" s="15">
        <f>SUMIFS(Liste07[ListVerg],Liste07[Platz],Liste07[[#This Row],[Platz]])*(Liste07[[#This Row],[Mult]]=1)*ListenkreuzeOk</f>
        <v>0</v>
      </c>
      <c r="CP25" s="4">
        <f>Liste07[[#This Row],[Liste]]+Liste07[[#This Row],[Einzel]]</f>
        <v>0</v>
      </c>
      <c r="CR25" s="8"/>
      <c r="CS25" s="3">
        <v>821</v>
      </c>
      <c r="CT25" s="28" t="s">
        <v>546</v>
      </c>
      <c r="CU25" s="9" t="b">
        <f>AND((Liste08[[#This Row],[Wahl]]=0),LEN(Liste08[[#This Row],[Wahl]])=1)</f>
        <v>0</v>
      </c>
      <c r="CV25" s="9">
        <f t="array" ref="CV25">SUM((ROW(Liste08[Platz])&lt;=ROW())*(Liste08[Platz]=Liste08[[#This Row],[Platz]])*NOT(Liste08[IstGestrichen]))*NOT(Liste08[[#This Row],[IstGestrichen]])</f>
        <v>1</v>
      </c>
      <c r="CW25" s="9">
        <f t="array" ref="CW25">MIN(SUMIFS(Liste08[Wahl],Liste08[Platz],Liste08[[#This Row],[Platz]]),3)</f>
        <v>0</v>
      </c>
      <c r="CX25" s="9">
        <f>(Liste08[[#This Row],[Mult]]&gt;Liste08[[#This Row],[GülzST2]])*1*NOT(Liste08[[#This Row],[IstGestrichen]])</f>
        <v>1</v>
      </c>
      <c r="CY25" s="9">
        <f>SUMIFS(Liste08[ListPot],Liste08[Platz],Liste08[[#This Row],[Platz]],Liste08[Mult],"&lt;="&amp;Liste08[[#This Row],[Mult]])+SUMIFS(Liste08[ListPot],Liste08[Platz],"&lt;"&amp;Liste08[[#This Row],[Platz]])*Liste08[[#This Row],[ListPot]]</f>
        <v>21</v>
      </c>
      <c r="CZ25" s="14">
        <f>IF(AND(NOT(ISBLANK(CR$3)),Liste08[[#This Row],[ListPotKum]]&lt;=Reststimmen),Liste08[[#This Row],[ListPot]],0)</f>
        <v>0</v>
      </c>
      <c r="DA25" s="4">
        <f>MIN(SUMIFS(Liste08[Wahl],Liste08[Platz],Liste08[[#This Row],[Platz]]),3)*(Liste08[[#This Row],[Mult]]=1)*StimmenzahlOk</f>
        <v>0</v>
      </c>
      <c r="DB25" s="15">
        <f>SUMIFS(Liste08[ListVerg],Liste08[Platz],Liste08[[#This Row],[Platz]])*(Liste08[[#This Row],[Mult]]=1)*ListenkreuzeOk</f>
        <v>0</v>
      </c>
      <c r="DC25" s="4">
        <f>Liste08[[#This Row],[Liste]]+Liste08[[#This Row],[Einzel]]</f>
        <v>0</v>
      </c>
      <c r="DE25" s="8"/>
      <c r="DF25" s="3"/>
      <c r="DG25" s="28"/>
      <c r="DH25" s="9" t="b">
        <f>AND((Liste09[[#This Row],[Wahl]]=0),LEN(Liste09[[#This Row],[Wahl]])=1)</f>
        <v>0</v>
      </c>
      <c r="DI25" s="9">
        <f t="array" ref="DI25">SUM((ROW(Liste09[Platz])&lt;=ROW())*(Liste09[Platz]=Liste09[[#This Row],[Platz]])*NOT(Liste09[IstGestrichen]))*NOT(Liste09[[#This Row],[IstGestrichen]])</f>
        <v>21</v>
      </c>
      <c r="DJ25" s="9">
        <f t="array" ref="DJ25">MIN(SUMIFS(Liste09[Wahl],Liste09[Platz],Liste09[[#This Row],[Platz]]),3)</f>
        <v>0</v>
      </c>
      <c r="DK25" s="9">
        <f>(Liste09[[#This Row],[Mult]]&gt;Liste09[[#This Row],[GülzST2]])*1*NOT(Liste09[[#This Row],[IstGestrichen]])</f>
        <v>1</v>
      </c>
      <c r="DL25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5" s="14">
        <f>IF(AND(NOT(ISBLANK(DE$3)),Liste09[[#This Row],[ListPotKum]]&lt;=Reststimmen),Liste09[[#This Row],[ListPot]],0)</f>
        <v>0</v>
      </c>
      <c r="DN25" s="4">
        <f>MIN(SUMIFS(Liste09[Wahl],Liste09[Platz],Liste09[[#This Row],[Platz]]),3)*(Liste09[[#This Row],[Mult]]=1)*StimmenzahlOk</f>
        <v>0</v>
      </c>
      <c r="DO25" s="15">
        <f>SUMIFS(Liste09[ListVerg],Liste09[Platz],Liste09[[#This Row],[Platz]])*(Liste09[[#This Row],[Mult]]=1)*ListenkreuzeOk</f>
        <v>0</v>
      </c>
      <c r="DP25" s="4">
        <f>Liste09[[#This Row],[Liste]]+Liste09[[#This Row],[Einzel]]</f>
        <v>0</v>
      </c>
    </row>
    <row r="26" spans="1:120" ht="15.75" x14ac:dyDescent="0.25">
      <c r="A26" s="40" t="s">
        <v>270</v>
      </c>
      <c r="B26" s="17"/>
      <c r="E26" s="8"/>
      <c r="F26" s="3">
        <v>122</v>
      </c>
      <c r="G26" s="2" t="s">
        <v>294</v>
      </c>
      <c r="H26" s="9" t="b">
        <f>AND((Liste01[[#This Row],[Wahl]]=0),LEN(Liste01[[#This Row],[Wahl]])=1)</f>
        <v>0</v>
      </c>
      <c r="I26" s="9">
        <f t="array" ref="I26">SUM((ROW(Liste01[Platz])&lt;=ROW())*(Liste01[Platz]=Liste01[[#This Row],[Platz]])*NOT(Liste01[IstGestrichen]))*NOT(Liste01[[#This Row],[IstGestrichen]])</f>
        <v>1</v>
      </c>
      <c r="J26" s="9">
        <f t="array" ref="J26">MIN(SUMIFS(Liste01[Wahl],Liste01[Platz],Liste01[[#This Row],[Platz]]),3)</f>
        <v>0</v>
      </c>
      <c r="K26" s="9">
        <f>(Liste01[[#This Row],[Mult]]&gt;Liste01[[#This Row],[GülzST2]])*1*NOT(Liste01[[#This Row],[IstGestrichen]])</f>
        <v>1</v>
      </c>
      <c r="L26" s="9">
        <f>SUMIFS(Liste01[ListPot],Liste01[Platz],Liste01[[#This Row],[Platz]],Liste01[Mult],"&lt;="&amp;Liste01[[#This Row],[Mult]])+SUMIFS(Liste01[ListPot],Liste01[Platz],"&lt;"&amp;Liste01[[#This Row],[Platz]])*Liste01[[#This Row],[ListPot]]</f>
        <v>22</v>
      </c>
      <c r="M26" s="9">
        <f>IF(AND(NOT(ISBLANK(E$3)),Liste01[[#This Row],[ListPotKum]]&lt;=Reststimmen),Liste01[[#This Row],[ListPot]],0)</f>
        <v>0</v>
      </c>
      <c r="N26" s="4">
        <f>MIN(SUMIFS(Liste01[Wahl],Liste01[Platz],Liste01[[#This Row],[Platz]]),3)*(Liste01[[#This Row],[Mult]]=1)*StimmenzahlOk</f>
        <v>0</v>
      </c>
      <c r="O26" s="4">
        <f>SUMIFS(Liste01[ListVerg],Liste01[Platz],Liste01[[#This Row],[Platz]])*(Liste01[[#This Row],[Mult]]=1)*ListenkreuzeOk</f>
        <v>0</v>
      </c>
      <c r="P26" s="4">
        <f>Liste01[[#This Row],[Liste]]+Liste01[[#This Row],[Einzel]]</f>
        <v>0</v>
      </c>
      <c r="R26" s="8"/>
      <c r="S26" s="3">
        <v>222</v>
      </c>
      <c r="T26" s="28" t="s">
        <v>344</v>
      </c>
      <c r="U26" s="9" t="b">
        <f>AND((Liste02[[#This Row],[Wahl]]=0),LEN(Liste02[[#This Row],[Wahl]])=1)</f>
        <v>0</v>
      </c>
      <c r="V26" s="9">
        <f t="array" ref="V26">SUM((ROW(Liste02[Platz])&lt;=ROW())*(Liste02[Platz]=Liste02[[#This Row],[Platz]])*NOT(Liste02[IstGestrichen]))*NOT(Liste02[[#This Row],[IstGestrichen]])</f>
        <v>1</v>
      </c>
      <c r="W26" s="9">
        <f t="array" ref="W26">MIN(SUMIFS(Liste02[Wahl],Liste02[Platz],Liste02[[#This Row],[Platz]]),3)</f>
        <v>0</v>
      </c>
      <c r="X26" s="9">
        <f>(Liste02[[#This Row],[Mult]]&gt;Liste02[[#This Row],[GülzST2]])*1*NOT(Liste02[[#This Row],[IstGestrichen]])</f>
        <v>1</v>
      </c>
      <c r="Y26" s="9">
        <f>SUMIFS(Liste02[ListPot],Liste02[Platz],Liste02[[#This Row],[Platz]],Liste02[Mult],"&lt;="&amp;Liste02[[#This Row],[Mult]])+SUMIFS(Liste02[ListPot],Liste02[Platz],"&lt;"&amp;Liste02[[#This Row],[Platz]])*Liste02[[#This Row],[ListPot]]</f>
        <v>22</v>
      </c>
      <c r="Z26" s="9">
        <f>IF(AND(NOT(ISBLANK(R$3)),Liste02[[#This Row],[ListPotKum]]&lt;=Reststimmen),Liste02[[#This Row],[ListPot]],0)</f>
        <v>0</v>
      </c>
      <c r="AA26" s="4">
        <f>MIN(SUMIFS(Liste02[Wahl],Liste02[Platz],Liste02[[#This Row],[Platz]]),3)*(Liste02[[#This Row],[Mult]]=1)*StimmenzahlOk</f>
        <v>0</v>
      </c>
      <c r="AB26" s="4">
        <f>SUMIFS(Liste02[ListVerg],Liste02[Platz],Liste02[[#This Row],[Platz]])*(Liste02[[#This Row],[Mult]]=1)*ListenkreuzeOk</f>
        <v>0</v>
      </c>
      <c r="AC26" s="4">
        <f>Liste02[[#This Row],[Liste]]+Liste02[[#This Row],[Einzel]]</f>
        <v>0</v>
      </c>
      <c r="AE26" s="8"/>
      <c r="AF26" s="3">
        <v>322</v>
      </c>
      <c r="AG26" s="28" t="s">
        <v>394</v>
      </c>
      <c r="AH26" s="9" t="b">
        <f>AND((Liste03[[#This Row],[Wahl]]=0),LEN(Liste03[[#This Row],[Wahl]])=1)</f>
        <v>0</v>
      </c>
      <c r="AI26" s="9">
        <f t="array" ref="AI26">SUM((ROW(Liste03[Platz])&lt;=ROW())*(Liste03[Platz]=Liste03[[#This Row],[Platz]])*NOT(Liste03[IstGestrichen]))*NOT(Liste03[[#This Row],[IstGestrichen]])</f>
        <v>1</v>
      </c>
      <c r="AJ26" s="9">
        <f t="array" ref="AJ26">MIN(SUMIFS(Liste03[Wahl],Liste03[Platz],Liste03[[#This Row],[Platz]]),3)</f>
        <v>0</v>
      </c>
      <c r="AK26" s="9">
        <f>(Liste03[[#This Row],[Mult]]&gt;Liste03[[#This Row],[GülzST2]])*1*NOT(Liste03[[#This Row],[IstGestrichen]])</f>
        <v>1</v>
      </c>
      <c r="AL26" s="9">
        <f>SUMIFS(Liste03[ListPot],Liste03[Platz],Liste03[[#This Row],[Platz]],Liste03[Mult],"&lt;="&amp;Liste03[[#This Row],[Mult]])+SUMIFS(Liste03[ListPot],Liste03[Platz],"&lt;"&amp;Liste03[[#This Row],[Platz]])*Liste03[[#This Row],[ListPot]]</f>
        <v>22</v>
      </c>
      <c r="AM26" s="9">
        <f>IF(AND(NOT(ISBLANK(AE$3)),Liste03[[#This Row],[ListPotKum]]&lt;=Reststimmen),Liste03[[#This Row],[ListPot]],0)</f>
        <v>0</v>
      </c>
      <c r="AN26" s="4">
        <f>MIN(SUMIFS(Liste03[Wahl],Liste03[Platz],Liste03[[#This Row],[Platz]]),3)*(Liste03[[#This Row],[Mult]]=1)*StimmenzahlOk</f>
        <v>0</v>
      </c>
      <c r="AO26" s="4">
        <f>SUMIFS(Liste03[ListVerg],Liste03[Platz],Liste03[[#This Row],[Platz]])*(Liste03[[#This Row],[Mult]]=1)*ListenkreuzeOk</f>
        <v>0</v>
      </c>
      <c r="AP26" s="4">
        <f>Liste03[[#This Row],[Liste]]+Liste03[[#This Row],[Einzel]]</f>
        <v>0</v>
      </c>
      <c r="AR26" s="42"/>
      <c r="AS26" s="3"/>
      <c r="AT26" s="37"/>
      <c r="AU26" s="9" t="b">
        <f>AND((Liste04[[#This Row],[Wahl]]=0),LEN(Liste04[[#This Row],[Wahl]])=1)</f>
        <v>0</v>
      </c>
      <c r="AV26" s="9">
        <f t="array" ref="AV26">SUM((ROW(Liste04[Platz])&lt;=ROW())*(Liste04[Platz]=Liste04[[#This Row],[Platz]])*NOT(Liste04[IstGestrichen]))*NOT(Liste04[[#This Row],[IstGestrichen]])</f>
        <v>22</v>
      </c>
      <c r="AW26" s="9">
        <f t="array" ref="AW26">MIN(SUMIFS(Liste04[Wahl],Liste04[Platz],Liste04[[#This Row],[Platz]]),3)</f>
        <v>0</v>
      </c>
      <c r="AX26" s="9">
        <f>(Liste04[[#This Row],[Mult]]&gt;Liste04[[#This Row],[GülzST2]])*1*NOT(Liste04[[#This Row],[IstGestrichen]])</f>
        <v>1</v>
      </c>
      <c r="AY26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6" s="14">
        <f>IF(AND(NOT(ISBLANK(AR$3)),Liste04[[#This Row],[ListPotKum]]&lt;=Reststimmen),Liste04[[#This Row],[ListPot]],0)</f>
        <v>0</v>
      </c>
      <c r="BA26" s="4">
        <f>MIN(SUMIFS(Liste04[Wahl],Liste04[Platz],Liste04[[#This Row],[Platz]]),3)*(Liste04[[#This Row],[Mult]]=1)*StimmenzahlOk</f>
        <v>0</v>
      </c>
      <c r="BB26" s="15">
        <f>SUMIFS(Liste04[ListVerg],Liste04[Platz],Liste04[[#This Row],[Platz]])*(Liste04[[#This Row],[Mult]]=1)*ListenkreuzeOk</f>
        <v>0</v>
      </c>
      <c r="BC26" s="4">
        <f>Liste04[[#This Row],[Liste]]+Liste04[[#This Row],[Einzel]]</f>
        <v>0</v>
      </c>
      <c r="BE26" s="8"/>
      <c r="BF26" s="3">
        <v>522</v>
      </c>
      <c r="BG26" s="28" t="s">
        <v>446</v>
      </c>
      <c r="BH26" s="9" t="b">
        <f>AND((Liste05[[#This Row],[Wahl]]=0),LEN(Liste05[[#This Row],[Wahl]])=1)</f>
        <v>0</v>
      </c>
      <c r="BI26" s="9">
        <f t="array" ref="BI26">SUM((ROW(Liste05[Platz])&lt;=ROW())*(Liste05[Platz]=Liste05[[#This Row],[Platz]])*NOT(Liste05[IstGestrichen]))*NOT(Liste05[[#This Row],[IstGestrichen]])</f>
        <v>1</v>
      </c>
      <c r="BJ26" s="9">
        <f t="array" ref="BJ26">MIN(SUMIFS(Liste05[Wahl],Liste05[Platz],Liste05[[#This Row],[Platz]]),3)</f>
        <v>0</v>
      </c>
      <c r="BK26" s="9">
        <f>(Liste05[[#This Row],[Mult]]&gt;Liste05[[#This Row],[GülzST2]])*1*NOT(Liste05[[#This Row],[IstGestrichen]])</f>
        <v>1</v>
      </c>
      <c r="BL26" s="9">
        <f>SUMIFS(Liste05[ListPot],Liste05[Platz],Liste05[[#This Row],[Platz]],Liste05[Mult],"&lt;="&amp;Liste05[[#This Row],[Mult]])+SUMIFS(Liste05[ListPot],Liste05[Platz],"&lt;"&amp;Liste05[[#This Row],[Platz]])*Liste05[[#This Row],[ListPot]]</f>
        <v>22</v>
      </c>
      <c r="BM26" s="9">
        <f>IF(AND(NOT(ISBLANK(BE$3)),Liste05[[#This Row],[ListPotKum]]&lt;=Reststimmen),Liste05[[#This Row],[ListPot]],0)</f>
        <v>0</v>
      </c>
      <c r="BN26" s="4">
        <f>MIN(SUMIFS(Liste05[Wahl],Liste05[Platz],Liste05[[#This Row],[Platz]]),3)*(Liste05[[#This Row],[Mult]]=1)*StimmenzahlOk</f>
        <v>0</v>
      </c>
      <c r="BO26" s="4">
        <f>SUMIFS(Liste05[ListVerg],Liste05[Platz],Liste05[[#This Row],[Platz]])*(Liste05[[#This Row],[Mult]]=1)*ListenkreuzeOk</f>
        <v>0</v>
      </c>
      <c r="BP26" s="4">
        <f>Liste05[[#This Row],[Liste]]+Liste05[[#This Row],[Einzel]]</f>
        <v>0</v>
      </c>
      <c r="BR26" s="8"/>
      <c r="BS26" s="3"/>
      <c r="BT26" s="37"/>
      <c r="BU26" t="b">
        <f>AND((Liste06[[#This Row],[Spalte1]]=0),LEN(Liste06[[#This Row],[Spalte1]])=1)</f>
        <v>0</v>
      </c>
      <c r="BV26">
        <f t="array" ref="BV26">SUM((ROW(Liste06[Spalte2])&lt;=ROW())*(Liste06[Spalte2]=Liste06[[#This Row],[Spalte2]])*NOT(Liste06[IstGestrichen]))*NOT(Liste06[[#This Row],[IstGestrichen]])</f>
        <v>22</v>
      </c>
      <c r="BW26">
        <f t="array" ref="BW26">MIN(SUMIFS(Liste06[Spalte1],Liste06[Spalte2],Liste06[[#This Row],[Spalte2]]),3)</f>
        <v>0</v>
      </c>
      <c r="BX26">
        <f>(Liste06[[#This Row],[Mult]]&gt;Liste06[[#This Row],[GülzST2]])*1*NOT(Liste06[[#This Row],[IstGestrichen]])</f>
        <v>1</v>
      </c>
      <c r="BY26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6">
        <f>IF(AND(NOT(ISBLANK(BR$3)),Liste06[[#This Row],[ListPotKum]]&lt;=Reststimmen),Liste06[[#This Row],[ListPot]],0)</f>
        <v>0</v>
      </c>
      <c r="CA26" s="4">
        <f>MIN(SUMIFS(Liste06[Spalte1],Liste06[Spalte2],Liste06[[#This Row],[Spalte2]]),3)*(Liste06[[#This Row],[Mult]]=1)*StimmenzahlOk</f>
        <v>0</v>
      </c>
      <c r="CB26" s="4">
        <f>SUMIFS(Liste06[ListVerg],Liste06[Spalte2],Liste06[[#This Row],[Spalte2]])*(Liste06[[#This Row],[Mult]]=1)*ListenkreuzeOk</f>
        <v>0</v>
      </c>
      <c r="CC26" s="4">
        <f>Liste06[[#This Row],[Liste]]+Liste06[[#This Row],[Einzel]]</f>
        <v>0</v>
      </c>
      <c r="CE26" s="8"/>
      <c r="CF26" s="3">
        <v>722</v>
      </c>
      <c r="CG26" s="28" t="s">
        <v>496</v>
      </c>
      <c r="CH26" t="b">
        <f>AND((Liste07[[#This Row],[Wahl]]=0),LEN(Liste07[[#This Row],[Wahl]])=1)</f>
        <v>0</v>
      </c>
      <c r="CI26">
        <f t="array" ref="CI26">SUM((ROW(Liste07[Platz])&lt;=ROW())*(Liste07[Platz]=Liste07[[#This Row],[Platz]])*NOT(Liste07[IstGestrichen]))*NOT(Liste07[[#This Row],[IstGestrichen]])</f>
        <v>1</v>
      </c>
      <c r="CJ26">
        <f t="array" ref="CJ26">MIN(SUMIFS(Liste07[Wahl],Liste07[Platz],Liste07[[#This Row],[Platz]]),3)</f>
        <v>0</v>
      </c>
      <c r="CK26">
        <f>(Liste07[[#This Row],[Mult]]&gt;Liste07[[#This Row],[GülzST2]])*1*NOT(Liste07[[#This Row],[IstGestrichen]])</f>
        <v>1</v>
      </c>
      <c r="CL26">
        <f>SUMIFS(Liste07[ListPot],Liste07[Platz],Liste07[[#This Row],[Platz]],Liste07[Mult],"&lt;="&amp;Liste07[[#This Row],[Mult]])+SUMIFS(Liste07[ListPot],Liste07[Platz],"&lt;"&amp;Liste07[[#This Row],[Platz]])*Liste07[[#This Row],[ListPot]]</f>
        <v>22</v>
      </c>
      <c r="CM26">
        <f>IF(AND(NOT(ISBLANK(CE$3)),Liste07[[#This Row],[ListPotKum]]&lt;=Reststimmen),Liste07[[#This Row],[ListPot]],0)</f>
        <v>0</v>
      </c>
      <c r="CN26" s="4">
        <f>MIN(SUMIFS(Liste07[Wahl],Liste07[Platz],Liste07[[#This Row],[Platz]]),3)*(Liste07[[#This Row],[Mult]]=1)*StimmenzahlOk</f>
        <v>0</v>
      </c>
      <c r="CO26" s="4">
        <f>SUMIFS(Liste07[ListVerg],Liste07[Platz],Liste07[[#This Row],[Platz]])*(Liste07[[#This Row],[Mult]]=1)*ListenkreuzeOk</f>
        <v>0</v>
      </c>
      <c r="CP26" s="4">
        <f>Liste07[[#This Row],[Liste]]+Liste07[[#This Row],[Einzel]]</f>
        <v>0</v>
      </c>
      <c r="CR26" s="8"/>
      <c r="CS26" s="3">
        <v>822</v>
      </c>
      <c r="CT26" s="28" t="s">
        <v>547</v>
      </c>
      <c r="CU26" t="b">
        <f>AND((Liste08[[#This Row],[Wahl]]=0),LEN(Liste08[[#This Row],[Wahl]])=1)</f>
        <v>0</v>
      </c>
      <c r="CV26">
        <f t="array" ref="CV26">SUM((ROW(Liste08[Platz])&lt;=ROW())*(Liste08[Platz]=Liste08[[#This Row],[Platz]])*NOT(Liste08[IstGestrichen]))*NOT(Liste08[[#This Row],[IstGestrichen]])</f>
        <v>1</v>
      </c>
      <c r="CW26">
        <f t="array" ref="CW26">MIN(SUMIFS(Liste08[Wahl],Liste08[Platz],Liste08[[#This Row],[Platz]]),3)</f>
        <v>0</v>
      </c>
      <c r="CX26">
        <f>(Liste08[[#This Row],[Mult]]&gt;Liste08[[#This Row],[GülzST2]])*1*NOT(Liste08[[#This Row],[IstGestrichen]])</f>
        <v>1</v>
      </c>
      <c r="CY26">
        <f>SUMIFS(Liste08[ListPot],Liste08[Platz],Liste08[[#This Row],[Platz]],Liste08[Mult],"&lt;="&amp;Liste08[[#This Row],[Mult]])+SUMIFS(Liste08[ListPot],Liste08[Platz],"&lt;"&amp;Liste08[[#This Row],[Platz]])*Liste08[[#This Row],[ListPot]]</f>
        <v>22</v>
      </c>
      <c r="CZ26">
        <f>IF(AND(NOT(ISBLANK(CR$3)),Liste08[[#This Row],[ListPotKum]]&lt;=Reststimmen),Liste08[[#This Row],[ListPot]],0)</f>
        <v>0</v>
      </c>
      <c r="DA26" s="4">
        <f>MIN(SUMIFS(Liste08[Wahl],Liste08[Platz],Liste08[[#This Row],[Platz]]),3)*(Liste08[[#This Row],[Mult]]=1)*StimmenzahlOk</f>
        <v>0</v>
      </c>
      <c r="DB26" s="4">
        <f>SUMIFS(Liste08[ListVerg],Liste08[Platz],Liste08[[#This Row],[Platz]])*(Liste08[[#This Row],[Mult]]=1)*ListenkreuzeOk</f>
        <v>0</v>
      </c>
      <c r="DC26" s="4">
        <f>Liste08[[#This Row],[Liste]]+Liste08[[#This Row],[Einzel]]</f>
        <v>0</v>
      </c>
      <c r="DE26" s="8"/>
      <c r="DF26" s="3"/>
      <c r="DG26" s="28"/>
      <c r="DH26" t="b">
        <f>AND((Liste09[[#This Row],[Wahl]]=0),LEN(Liste09[[#This Row],[Wahl]])=1)</f>
        <v>0</v>
      </c>
      <c r="DI26">
        <f t="array" ref="DI26">SUM((ROW(Liste09[Platz])&lt;=ROW())*(Liste09[Platz]=Liste09[[#This Row],[Platz]])*NOT(Liste09[IstGestrichen]))*NOT(Liste09[[#This Row],[IstGestrichen]])</f>
        <v>22</v>
      </c>
      <c r="DJ26">
        <f t="array" ref="DJ26">MIN(SUMIFS(Liste09[Wahl],Liste09[Platz],Liste09[[#This Row],[Platz]]),3)</f>
        <v>0</v>
      </c>
      <c r="DK26">
        <f>(Liste09[[#This Row],[Mult]]&gt;Liste09[[#This Row],[GülzST2]])*1*NOT(Liste09[[#This Row],[IstGestrichen]])</f>
        <v>1</v>
      </c>
      <c r="DL26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6">
        <f>IF(AND(NOT(ISBLANK(DE$3)),Liste09[[#This Row],[ListPotKum]]&lt;=Reststimmen),Liste09[[#This Row],[ListPot]],0)</f>
        <v>0</v>
      </c>
      <c r="DN26" s="4">
        <f>MIN(SUMIFS(Liste09[Wahl],Liste09[Platz],Liste09[[#This Row],[Platz]]),3)*(Liste09[[#This Row],[Mult]]=1)*StimmenzahlOk</f>
        <v>0</v>
      </c>
      <c r="DO26" s="4">
        <f>SUMIFS(Liste09[ListVerg],Liste09[Platz],Liste09[[#This Row],[Platz]])*(Liste09[[#This Row],[Mult]]=1)*ListenkreuzeOk</f>
        <v>0</v>
      </c>
      <c r="DP26" s="4">
        <f>Liste09[[#This Row],[Liste]]+Liste09[[#This Row],[Einzel]]</f>
        <v>0</v>
      </c>
    </row>
    <row r="27" spans="1:120" ht="15.75" x14ac:dyDescent="0.25">
      <c r="A27" s="17"/>
      <c r="B27" s="17"/>
      <c r="E27" s="8"/>
      <c r="F27" s="3">
        <v>123</v>
      </c>
      <c r="G27" s="2" t="s">
        <v>295</v>
      </c>
      <c r="H27" s="9" t="b">
        <f>AND((Liste01[[#This Row],[Wahl]]=0),LEN(Liste01[[#This Row],[Wahl]])=1)</f>
        <v>0</v>
      </c>
      <c r="I27" s="9">
        <f t="array" ref="I27">SUM((ROW(Liste01[Platz])&lt;=ROW())*(Liste01[Platz]=Liste01[[#This Row],[Platz]])*NOT(Liste01[IstGestrichen]))*NOT(Liste01[[#This Row],[IstGestrichen]])</f>
        <v>1</v>
      </c>
      <c r="J27" s="9">
        <f t="array" ref="J27">MIN(SUMIFS(Liste01[Wahl],Liste01[Platz],Liste01[[#This Row],[Platz]]),3)</f>
        <v>0</v>
      </c>
      <c r="K27" s="9">
        <f>(Liste01[[#This Row],[Mult]]&gt;Liste01[[#This Row],[GülzST2]])*1*NOT(Liste01[[#This Row],[IstGestrichen]])</f>
        <v>1</v>
      </c>
      <c r="L27" s="9">
        <f>SUMIFS(Liste01[ListPot],Liste01[Platz],Liste01[[#This Row],[Platz]],Liste01[Mult],"&lt;="&amp;Liste01[[#This Row],[Mult]])+SUMIFS(Liste01[ListPot],Liste01[Platz],"&lt;"&amp;Liste01[[#This Row],[Platz]])*Liste01[[#This Row],[ListPot]]</f>
        <v>23</v>
      </c>
      <c r="M27" s="9">
        <f>IF(AND(NOT(ISBLANK(E$3)),Liste01[[#This Row],[ListPotKum]]&lt;=Reststimmen),Liste01[[#This Row],[ListPot]],0)</f>
        <v>0</v>
      </c>
      <c r="N27" s="4">
        <f>MIN(SUMIFS(Liste01[Wahl],Liste01[Platz],Liste01[[#This Row],[Platz]]),3)*(Liste01[[#This Row],[Mult]]=1)*StimmenzahlOk</f>
        <v>0</v>
      </c>
      <c r="O27" s="4">
        <f>SUMIFS(Liste01[ListVerg],Liste01[Platz],Liste01[[#This Row],[Platz]])*(Liste01[[#This Row],[Mult]]=1)*ListenkreuzeOk</f>
        <v>0</v>
      </c>
      <c r="P27" s="4">
        <f>Liste01[[#This Row],[Liste]]+Liste01[[#This Row],[Einzel]]</f>
        <v>0</v>
      </c>
      <c r="R27" s="8"/>
      <c r="S27" s="3">
        <v>223</v>
      </c>
      <c r="T27" s="28" t="s">
        <v>345</v>
      </c>
      <c r="U27" s="9" t="b">
        <f>AND((Liste02[[#This Row],[Wahl]]=0),LEN(Liste02[[#This Row],[Wahl]])=1)</f>
        <v>0</v>
      </c>
      <c r="V27" s="9">
        <f t="array" ref="V27">SUM((ROW(Liste02[Platz])&lt;=ROW())*(Liste02[Platz]=Liste02[[#This Row],[Platz]])*NOT(Liste02[IstGestrichen]))*NOT(Liste02[[#This Row],[IstGestrichen]])</f>
        <v>1</v>
      </c>
      <c r="W27" s="9">
        <f t="array" ref="W27">MIN(SUMIFS(Liste02[Wahl],Liste02[Platz],Liste02[[#This Row],[Platz]]),3)</f>
        <v>0</v>
      </c>
      <c r="X27" s="9">
        <f>(Liste02[[#This Row],[Mult]]&gt;Liste02[[#This Row],[GülzST2]])*1*NOT(Liste02[[#This Row],[IstGestrichen]])</f>
        <v>1</v>
      </c>
      <c r="Y27" s="9">
        <f>SUMIFS(Liste02[ListPot],Liste02[Platz],Liste02[[#This Row],[Platz]],Liste02[Mult],"&lt;="&amp;Liste02[[#This Row],[Mult]])+SUMIFS(Liste02[ListPot],Liste02[Platz],"&lt;"&amp;Liste02[[#This Row],[Platz]])*Liste02[[#This Row],[ListPot]]</f>
        <v>23</v>
      </c>
      <c r="Z27" s="9">
        <f>IF(AND(NOT(ISBLANK(R$3)),Liste02[[#This Row],[ListPotKum]]&lt;=Reststimmen),Liste02[[#This Row],[ListPot]],0)</f>
        <v>0</v>
      </c>
      <c r="AA27" s="4">
        <f>MIN(SUMIFS(Liste02[Wahl],Liste02[Platz],Liste02[[#This Row],[Platz]]),3)*(Liste02[[#This Row],[Mult]]=1)*StimmenzahlOk</f>
        <v>0</v>
      </c>
      <c r="AB27" s="4">
        <f>SUMIFS(Liste02[ListVerg],Liste02[Platz],Liste02[[#This Row],[Platz]])*(Liste02[[#This Row],[Mult]]=1)*ListenkreuzeOk</f>
        <v>0</v>
      </c>
      <c r="AC27" s="4">
        <f>Liste02[[#This Row],[Liste]]+Liste02[[#This Row],[Einzel]]</f>
        <v>0</v>
      </c>
      <c r="AE27" s="8"/>
      <c r="AF27" s="3">
        <v>323</v>
      </c>
      <c r="AG27" s="28" t="s">
        <v>395</v>
      </c>
      <c r="AH27" s="9" t="b">
        <f>AND((Liste03[[#This Row],[Wahl]]=0),LEN(Liste03[[#This Row],[Wahl]])=1)</f>
        <v>0</v>
      </c>
      <c r="AI27" s="9">
        <f t="array" ref="AI27">SUM((ROW(Liste03[Platz])&lt;=ROW())*(Liste03[Platz]=Liste03[[#This Row],[Platz]])*NOT(Liste03[IstGestrichen]))*NOT(Liste03[[#This Row],[IstGestrichen]])</f>
        <v>1</v>
      </c>
      <c r="AJ27" s="9">
        <f t="array" ref="AJ27">MIN(SUMIFS(Liste03[Wahl],Liste03[Platz],Liste03[[#This Row],[Platz]]),3)</f>
        <v>0</v>
      </c>
      <c r="AK27" s="9">
        <f>(Liste03[[#This Row],[Mult]]&gt;Liste03[[#This Row],[GülzST2]])*1*NOT(Liste03[[#This Row],[IstGestrichen]])</f>
        <v>1</v>
      </c>
      <c r="AL27" s="9">
        <f>SUMIFS(Liste03[ListPot],Liste03[Platz],Liste03[[#This Row],[Platz]],Liste03[Mult],"&lt;="&amp;Liste03[[#This Row],[Mult]])+SUMIFS(Liste03[ListPot],Liste03[Platz],"&lt;"&amp;Liste03[[#This Row],[Platz]])*Liste03[[#This Row],[ListPot]]</f>
        <v>23</v>
      </c>
      <c r="AM27" s="9">
        <f>IF(AND(NOT(ISBLANK(AE$3)),Liste03[[#This Row],[ListPotKum]]&lt;=Reststimmen),Liste03[[#This Row],[ListPot]],0)</f>
        <v>0</v>
      </c>
      <c r="AN27" s="4">
        <f>MIN(SUMIFS(Liste03[Wahl],Liste03[Platz],Liste03[[#This Row],[Platz]]),3)*(Liste03[[#This Row],[Mult]]=1)*StimmenzahlOk</f>
        <v>0</v>
      </c>
      <c r="AO27" s="4">
        <f>SUMIFS(Liste03[ListVerg],Liste03[Platz],Liste03[[#This Row],[Platz]])*(Liste03[[#This Row],[Mult]]=1)*ListenkreuzeOk</f>
        <v>0</v>
      </c>
      <c r="AP27" s="4">
        <f>Liste03[[#This Row],[Liste]]+Liste03[[#This Row],[Einzel]]</f>
        <v>0</v>
      </c>
      <c r="AR27" s="42"/>
      <c r="AS27" s="3"/>
      <c r="AT27" s="37"/>
      <c r="AU27" s="9" t="b">
        <f>AND((Liste04[[#This Row],[Wahl]]=0),LEN(Liste04[[#This Row],[Wahl]])=1)</f>
        <v>0</v>
      </c>
      <c r="AV27" s="9">
        <f t="array" ref="AV27">SUM((ROW(Liste04[Platz])&lt;=ROW())*(Liste04[Platz]=Liste04[[#This Row],[Platz]])*NOT(Liste04[IstGestrichen]))*NOT(Liste04[[#This Row],[IstGestrichen]])</f>
        <v>23</v>
      </c>
      <c r="AW27" s="9">
        <f t="array" ref="AW27">MIN(SUMIFS(Liste04[Wahl],Liste04[Platz],Liste04[[#This Row],[Platz]]),3)</f>
        <v>0</v>
      </c>
      <c r="AX27" s="9">
        <f>(Liste04[[#This Row],[Mult]]&gt;Liste04[[#This Row],[GülzST2]])*1*NOT(Liste04[[#This Row],[IstGestrichen]])</f>
        <v>1</v>
      </c>
      <c r="AY27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7" s="14">
        <f>IF(AND(NOT(ISBLANK(AR$3)),Liste04[[#This Row],[ListPotKum]]&lt;=Reststimmen),Liste04[[#This Row],[ListPot]],0)</f>
        <v>0</v>
      </c>
      <c r="BA27" s="4">
        <f>MIN(SUMIFS(Liste04[Wahl],Liste04[Platz],Liste04[[#This Row],[Platz]]),3)*(Liste04[[#This Row],[Mult]]=1)*StimmenzahlOk</f>
        <v>0</v>
      </c>
      <c r="BB27" s="15">
        <f>SUMIFS(Liste04[ListVerg],Liste04[Platz],Liste04[[#This Row],[Platz]])*(Liste04[[#This Row],[Mult]]=1)*ListenkreuzeOk</f>
        <v>0</v>
      </c>
      <c r="BC27" s="4">
        <f>Liste04[[#This Row],[Liste]]+Liste04[[#This Row],[Einzel]]</f>
        <v>0</v>
      </c>
      <c r="BE27" s="8"/>
      <c r="BF27" s="3">
        <v>523</v>
      </c>
      <c r="BG27" s="28" t="s">
        <v>447</v>
      </c>
      <c r="BH27" s="9" t="b">
        <f>AND((Liste05[[#This Row],[Wahl]]=0),LEN(Liste05[[#This Row],[Wahl]])=1)</f>
        <v>0</v>
      </c>
      <c r="BI27" s="9">
        <f t="array" ref="BI27">SUM((ROW(Liste05[Platz])&lt;=ROW())*(Liste05[Platz]=Liste05[[#This Row],[Platz]])*NOT(Liste05[IstGestrichen]))*NOT(Liste05[[#This Row],[IstGestrichen]])</f>
        <v>1</v>
      </c>
      <c r="BJ27" s="9">
        <f t="array" ref="BJ27">MIN(SUMIFS(Liste05[Wahl],Liste05[Platz],Liste05[[#This Row],[Platz]]),3)</f>
        <v>0</v>
      </c>
      <c r="BK27" s="9">
        <f>(Liste05[[#This Row],[Mult]]&gt;Liste05[[#This Row],[GülzST2]])*1*NOT(Liste05[[#This Row],[IstGestrichen]])</f>
        <v>1</v>
      </c>
      <c r="BL27" s="9">
        <f>SUMIFS(Liste05[ListPot],Liste05[Platz],Liste05[[#This Row],[Platz]],Liste05[Mult],"&lt;="&amp;Liste05[[#This Row],[Mult]])+SUMIFS(Liste05[ListPot],Liste05[Platz],"&lt;"&amp;Liste05[[#This Row],[Platz]])*Liste05[[#This Row],[ListPot]]</f>
        <v>23</v>
      </c>
      <c r="BM27" s="9">
        <f>IF(AND(NOT(ISBLANK(BE$3)),Liste05[[#This Row],[ListPotKum]]&lt;=Reststimmen),Liste05[[#This Row],[ListPot]],0)</f>
        <v>0</v>
      </c>
      <c r="BN27" s="4">
        <f>MIN(SUMIFS(Liste05[Wahl],Liste05[Platz],Liste05[[#This Row],[Platz]]),3)*(Liste05[[#This Row],[Mult]]=1)*StimmenzahlOk</f>
        <v>0</v>
      </c>
      <c r="BO27" s="4">
        <f>SUMIFS(Liste05[ListVerg],Liste05[Platz],Liste05[[#This Row],[Platz]])*(Liste05[[#This Row],[Mult]]=1)*ListenkreuzeOk</f>
        <v>0</v>
      </c>
      <c r="BP27" s="4">
        <f>Liste05[[#This Row],[Liste]]+Liste05[[#This Row],[Einzel]]</f>
        <v>0</v>
      </c>
      <c r="BR27" s="8"/>
      <c r="BS27" s="3"/>
      <c r="BT27" s="28"/>
      <c r="BU27" s="9" t="b">
        <f>AND((Liste06[[#This Row],[Spalte1]]=0),LEN(Liste06[[#This Row],[Spalte1]])=1)</f>
        <v>0</v>
      </c>
      <c r="BV27" s="9">
        <f t="array" ref="BV27">SUM((ROW(Liste06[Spalte2])&lt;=ROW())*(Liste06[Spalte2]=Liste06[[#This Row],[Spalte2]])*NOT(Liste06[IstGestrichen]))*NOT(Liste06[[#This Row],[IstGestrichen]])</f>
        <v>23</v>
      </c>
      <c r="BW27" s="9">
        <f t="array" ref="BW27">MIN(SUMIFS(Liste06[Spalte1],Liste06[Spalte2],Liste06[[#This Row],[Spalte2]]),3)</f>
        <v>0</v>
      </c>
      <c r="BX27" s="9">
        <f>(Liste06[[#This Row],[Mult]]&gt;Liste06[[#This Row],[GülzST2]])*1*NOT(Liste06[[#This Row],[IstGestrichen]])</f>
        <v>1</v>
      </c>
      <c r="BY27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7" s="9">
        <f>IF(AND(NOT(ISBLANK(BR$3)),Liste06[[#This Row],[ListPotKum]]&lt;=Reststimmen),Liste06[[#This Row],[ListPot]],0)</f>
        <v>0</v>
      </c>
      <c r="CA27" s="4">
        <f>MIN(SUMIFS(Liste06[Spalte1],Liste06[Spalte2],Liste06[[#This Row],[Spalte2]]),3)*(Liste06[[#This Row],[Mult]]=1)*StimmenzahlOk</f>
        <v>0</v>
      </c>
      <c r="CB27" s="4">
        <f>SUMIFS(Liste06[ListVerg],Liste06[Spalte2],Liste06[[#This Row],[Spalte2]])*(Liste06[[#This Row],[Mult]]=1)*ListenkreuzeOk</f>
        <v>0</v>
      </c>
      <c r="CC27" s="4">
        <f>Liste06[[#This Row],[Liste]]+Liste06[[#This Row],[Einzel]]</f>
        <v>0</v>
      </c>
      <c r="CE27" s="8"/>
      <c r="CF27" s="3">
        <v>723</v>
      </c>
      <c r="CG27" s="28" t="s">
        <v>497</v>
      </c>
      <c r="CH27" s="9" t="b">
        <f>AND((Liste07[[#This Row],[Wahl]]=0),LEN(Liste07[[#This Row],[Wahl]])=1)</f>
        <v>0</v>
      </c>
      <c r="CI27" s="9">
        <f t="array" ref="CI27">SUM((ROW(Liste07[Platz])&lt;=ROW())*(Liste07[Platz]=Liste07[[#This Row],[Platz]])*NOT(Liste07[IstGestrichen]))*NOT(Liste07[[#This Row],[IstGestrichen]])</f>
        <v>1</v>
      </c>
      <c r="CJ27" s="9">
        <f t="array" ref="CJ27">MIN(SUMIFS(Liste07[Wahl],Liste07[Platz],Liste07[[#This Row],[Platz]]),3)</f>
        <v>0</v>
      </c>
      <c r="CK27" s="9">
        <f>(Liste07[[#This Row],[Mult]]&gt;Liste07[[#This Row],[GülzST2]])*1*NOT(Liste07[[#This Row],[IstGestrichen]])</f>
        <v>1</v>
      </c>
      <c r="CL27" s="9">
        <f>SUMIFS(Liste07[ListPot],Liste07[Platz],Liste07[[#This Row],[Platz]],Liste07[Mult],"&lt;="&amp;Liste07[[#This Row],[Mult]])+SUMIFS(Liste07[ListPot],Liste07[Platz],"&lt;"&amp;Liste07[[#This Row],[Platz]])*Liste07[[#This Row],[ListPot]]</f>
        <v>23</v>
      </c>
      <c r="CM27" s="9">
        <f>IF(AND(NOT(ISBLANK(CE$3)),Liste07[[#This Row],[ListPotKum]]&lt;=Reststimmen),Liste07[[#This Row],[ListPot]],0)</f>
        <v>0</v>
      </c>
      <c r="CN27" s="4">
        <f>MIN(SUMIFS(Liste07[Wahl],Liste07[Platz],Liste07[[#This Row],[Platz]]),3)*(Liste07[[#This Row],[Mult]]=1)*StimmenzahlOk</f>
        <v>0</v>
      </c>
      <c r="CO27" s="4">
        <f>SUMIFS(Liste07[ListVerg],Liste07[Platz],Liste07[[#This Row],[Platz]])*(Liste07[[#This Row],[Mult]]=1)*ListenkreuzeOk</f>
        <v>0</v>
      </c>
      <c r="CP27" s="4">
        <f>Liste07[[#This Row],[Liste]]+Liste07[[#This Row],[Einzel]]</f>
        <v>0</v>
      </c>
      <c r="CR27" s="8"/>
      <c r="CS27" s="3">
        <v>823</v>
      </c>
      <c r="CT27" s="28" t="s">
        <v>548</v>
      </c>
      <c r="CU27" s="9" t="b">
        <f>AND((Liste08[[#This Row],[Wahl]]=0),LEN(Liste08[[#This Row],[Wahl]])=1)</f>
        <v>0</v>
      </c>
      <c r="CV27" s="9">
        <f t="array" ref="CV27">SUM((ROW(Liste08[Platz])&lt;=ROW())*(Liste08[Platz]=Liste08[[#This Row],[Platz]])*NOT(Liste08[IstGestrichen]))*NOT(Liste08[[#This Row],[IstGestrichen]])</f>
        <v>1</v>
      </c>
      <c r="CW27" s="9">
        <f t="array" ref="CW27">MIN(SUMIFS(Liste08[Wahl],Liste08[Platz],Liste08[[#This Row],[Platz]]),3)</f>
        <v>0</v>
      </c>
      <c r="CX27" s="9">
        <f>(Liste08[[#This Row],[Mult]]&gt;Liste08[[#This Row],[GülzST2]])*1*NOT(Liste08[[#This Row],[IstGestrichen]])</f>
        <v>1</v>
      </c>
      <c r="CY27" s="9">
        <f>SUMIFS(Liste08[ListPot],Liste08[Platz],Liste08[[#This Row],[Platz]],Liste08[Mult],"&lt;="&amp;Liste08[[#This Row],[Mult]])+SUMIFS(Liste08[ListPot],Liste08[Platz],"&lt;"&amp;Liste08[[#This Row],[Platz]])*Liste08[[#This Row],[ListPot]]</f>
        <v>23</v>
      </c>
      <c r="CZ27" s="9">
        <f>IF(AND(NOT(ISBLANK(CR$3)),Liste08[[#This Row],[ListPotKum]]&lt;=Reststimmen),Liste08[[#This Row],[ListPot]],0)</f>
        <v>0</v>
      </c>
      <c r="DA27" s="4">
        <f>MIN(SUMIFS(Liste08[Wahl],Liste08[Platz],Liste08[[#This Row],[Platz]]),3)*(Liste08[[#This Row],[Mult]]=1)*StimmenzahlOk</f>
        <v>0</v>
      </c>
      <c r="DB27" s="4">
        <f>SUMIFS(Liste08[ListVerg],Liste08[Platz],Liste08[[#This Row],[Platz]])*(Liste08[[#This Row],[Mult]]=1)*ListenkreuzeOk</f>
        <v>0</v>
      </c>
      <c r="DC27" s="4">
        <f>Liste08[[#This Row],[Liste]]+Liste08[[#This Row],[Einzel]]</f>
        <v>0</v>
      </c>
      <c r="DE27" s="8"/>
      <c r="DF27" s="3"/>
      <c r="DG27" s="28"/>
      <c r="DH27" s="11" t="b">
        <f>AND((Liste09[[#This Row],[Wahl]]=0),LEN(Liste09[[#This Row],[Wahl]])=1)</f>
        <v>0</v>
      </c>
      <c r="DI27" s="11">
        <f t="array" ref="DI27">SUM((ROW(Liste09[Platz])&lt;=ROW())*(Liste09[Platz]=Liste09[[#This Row],[Platz]])*NOT(Liste09[IstGestrichen]))*NOT(Liste09[[#This Row],[IstGestrichen]])</f>
        <v>23</v>
      </c>
      <c r="DJ27" s="11">
        <f t="array" ref="DJ27">MIN(SUMIFS(Liste09[Wahl],Liste09[Platz],Liste09[[#This Row],[Platz]]),3)</f>
        <v>0</v>
      </c>
      <c r="DK27" s="11">
        <f>(Liste09[[#This Row],[Mult]]&gt;Liste09[[#This Row],[GülzST2]])*1*NOT(Liste09[[#This Row],[IstGestrichen]])</f>
        <v>1</v>
      </c>
      <c r="DL27" s="11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7" s="11">
        <f>IF(AND(NOT(ISBLANK(DE$3)),Liste09[[#This Row],[ListPotKum]]&lt;=Reststimmen),Liste09[[#This Row],[ListPot]],0)</f>
        <v>0</v>
      </c>
      <c r="DN27" s="12">
        <f>MIN(SUMIFS(Liste09[Wahl],Liste09[Platz],Liste09[[#This Row],[Platz]]),3)*(Liste09[[#This Row],[Mult]]=1)*StimmenzahlOk</f>
        <v>0</v>
      </c>
      <c r="DO27" s="12">
        <f>SUMIFS(Liste09[ListVerg],Liste09[Platz],Liste09[[#This Row],[Platz]])*(Liste09[[#This Row],[Mult]]=1)*ListenkreuzeOk</f>
        <v>0</v>
      </c>
      <c r="DP27" s="12">
        <f>Liste09[[#This Row],[Liste]]+Liste09[[#This Row],[Einzel]]</f>
        <v>0</v>
      </c>
    </row>
    <row r="28" spans="1:120" ht="15.75" x14ac:dyDescent="0.25">
      <c r="A28" s="17"/>
      <c r="B28" s="17"/>
      <c r="E28" s="8"/>
      <c r="F28" s="3">
        <v>124</v>
      </c>
      <c r="G28" s="2" t="s">
        <v>296</v>
      </c>
      <c r="H28" s="9" t="b">
        <f>AND((Liste01[[#This Row],[Wahl]]=0),LEN(Liste01[[#This Row],[Wahl]])=1)</f>
        <v>0</v>
      </c>
      <c r="I28" s="9">
        <f t="array" ref="I28">SUM((ROW(Liste01[Platz])&lt;=ROW())*(Liste01[Platz]=Liste01[[#This Row],[Platz]])*NOT(Liste01[IstGestrichen]))*NOT(Liste01[[#This Row],[IstGestrichen]])</f>
        <v>1</v>
      </c>
      <c r="J28" s="9">
        <f t="array" ref="J28">MIN(SUMIFS(Liste01[Wahl],Liste01[Platz],Liste01[[#This Row],[Platz]]),3)</f>
        <v>0</v>
      </c>
      <c r="K28" s="9">
        <f>(Liste01[[#This Row],[Mult]]&gt;Liste01[[#This Row],[GülzST2]])*1*NOT(Liste01[[#This Row],[IstGestrichen]])</f>
        <v>1</v>
      </c>
      <c r="L28" s="9">
        <f>SUMIFS(Liste01[ListPot],Liste01[Platz],Liste01[[#This Row],[Platz]],Liste01[Mult],"&lt;="&amp;Liste01[[#This Row],[Mult]])+SUMIFS(Liste01[ListPot],Liste01[Platz],"&lt;"&amp;Liste01[[#This Row],[Platz]])*Liste01[[#This Row],[ListPot]]</f>
        <v>24</v>
      </c>
      <c r="M28" s="9">
        <f>IF(AND(NOT(ISBLANK(E$3)),Liste01[[#This Row],[ListPotKum]]&lt;=Reststimmen),Liste01[[#This Row],[ListPot]],0)</f>
        <v>0</v>
      </c>
      <c r="N28" s="4">
        <f>MIN(SUMIFS(Liste01[Wahl],Liste01[Platz],Liste01[[#This Row],[Platz]]),3)*(Liste01[[#This Row],[Mult]]=1)*StimmenzahlOk</f>
        <v>0</v>
      </c>
      <c r="O28" s="4">
        <f>SUMIFS(Liste01[ListVerg],Liste01[Platz],Liste01[[#This Row],[Platz]])*(Liste01[[#This Row],[Mult]]=1)*ListenkreuzeOk</f>
        <v>0</v>
      </c>
      <c r="P28" s="4">
        <f>Liste01[[#This Row],[Liste]]+Liste01[[#This Row],[Einzel]]</f>
        <v>0</v>
      </c>
      <c r="R28" s="8"/>
      <c r="S28" s="3">
        <v>224</v>
      </c>
      <c r="T28" s="28" t="s">
        <v>346</v>
      </c>
      <c r="U28" s="9" t="b">
        <f>AND((Liste02[[#This Row],[Wahl]]=0),LEN(Liste02[[#This Row],[Wahl]])=1)</f>
        <v>0</v>
      </c>
      <c r="V28" s="9">
        <f t="array" ref="V28">SUM((ROW(Liste02[Platz])&lt;=ROW())*(Liste02[Platz]=Liste02[[#This Row],[Platz]])*NOT(Liste02[IstGestrichen]))*NOT(Liste02[[#This Row],[IstGestrichen]])</f>
        <v>1</v>
      </c>
      <c r="W28" s="9">
        <f t="array" ref="W28">MIN(SUMIFS(Liste02[Wahl],Liste02[Platz],Liste02[[#This Row],[Platz]]),3)</f>
        <v>0</v>
      </c>
      <c r="X28" s="9">
        <f>(Liste02[[#This Row],[Mult]]&gt;Liste02[[#This Row],[GülzST2]])*1*NOT(Liste02[[#This Row],[IstGestrichen]])</f>
        <v>1</v>
      </c>
      <c r="Y28" s="9">
        <f>SUMIFS(Liste02[ListPot],Liste02[Platz],Liste02[[#This Row],[Platz]],Liste02[Mult],"&lt;="&amp;Liste02[[#This Row],[Mult]])+SUMIFS(Liste02[ListPot],Liste02[Platz],"&lt;"&amp;Liste02[[#This Row],[Platz]])*Liste02[[#This Row],[ListPot]]</f>
        <v>24</v>
      </c>
      <c r="Z28" s="9">
        <f>IF(AND(NOT(ISBLANK(R$3)),Liste02[[#This Row],[ListPotKum]]&lt;=Reststimmen),Liste02[[#This Row],[ListPot]],0)</f>
        <v>0</v>
      </c>
      <c r="AA28" s="4">
        <f>MIN(SUMIFS(Liste02[Wahl],Liste02[Platz],Liste02[[#This Row],[Platz]]),3)*(Liste02[[#This Row],[Mult]]=1)*StimmenzahlOk</f>
        <v>0</v>
      </c>
      <c r="AB28" s="4">
        <f>SUMIFS(Liste02[ListVerg],Liste02[Platz],Liste02[[#This Row],[Platz]])*(Liste02[[#This Row],[Mult]]=1)*ListenkreuzeOk</f>
        <v>0</v>
      </c>
      <c r="AC28" s="4">
        <f>Liste02[[#This Row],[Liste]]+Liste02[[#This Row],[Einzel]]</f>
        <v>0</v>
      </c>
      <c r="AE28" s="8"/>
      <c r="AF28" s="3">
        <v>324</v>
      </c>
      <c r="AG28" s="28" t="s">
        <v>396</v>
      </c>
      <c r="AH28" s="9" t="b">
        <f>AND((Liste03[[#This Row],[Wahl]]=0),LEN(Liste03[[#This Row],[Wahl]])=1)</f>
        <v>0</v>
      </c>
      <c r="AI28" s="9">
        <f t="array" ref="AI28">SUM((ROW(Liste03[Platz])&lt;=ROW())*(Liste03[Platz]=Liste03[[#This Row],[Platz]])*NOT(Liste03[IstGestrichen]))*NOT(Liste03[[#This Row],[IstGestrichen]])</f>
        <v>1</v>
      </c>
      <c r="AJ28" s="9">
        <f t="array" ref="AJ28">MIN(SUMIFS(Liste03[Wahl],Liste03[Platz],Liste03[[#This Row],[Platz]]),3)</f>
        <v>0</v>
      </c>
      <c r="AK28" s="9">
        <f>(Liste03[[#This Row],[Mult]]&gt;Liste03[[#This Row],[GülzST2]])*1*NOT(Liste03[[#This Row],[IstGestrichen]])</f>
        <v>1</v>
      </c>
      <c r="AL28" s="9">
        <f>SUMIFS(Liste03[ListPot],Liste03[Platz],Liste03[[#This Row],[Platz]],Liste03[Mult],"&lt;="&amp;Liste03[[#This Row],[Mult]])+SUMIFS(Liste03[ListPot],Liste03[Platz],"&lt;"&amp;Liste03[[#This Row],[Platz]])*Liste03[[#This Row],[ListPot]]</f>
        <v>24</v>
      </c>
      <c r="AM28" s="9">
        <f>IF(AND(NOT(ISBLANK(AE$3)),Liste03[[#This Row],[ListPotKum]]&lt;=Reststimmen),Liste03[[#This Row],[ListPot]],0)</f>
        <v>0</v>
      </c>
      <c r="AN28" s="4">
        <f>MIN(SUMIFS(Liste03[Wahl],Liste03[Platz],Liste03[[#This Row],[Platz]]),3)*(Liste03[[#This Row],[Mult]]=1)*StimmenzahlOk</f>
        <v>0</v>
      </c>
      <c r="AO28" s="4">
        <f>SUMIFS(Liste03[ListVerg],Liste03[Platz],Liste03[[#This Row],[Platz]])*(Liste03[[#This Row],[Mult]]=1)*ListenkreuzeOk</f>
        <v>0</v>
      </c>
      <c r="AP28" s="4">
        <f>Liste03[[#This Row],[Liste]]+Liste03[[#This Row],[Einzel]]</f>
        <v>0</v>
      </c>
      <c r="AR28" s="42"/>
      <c r="AS28" s="3"/>
      <c r="AT28" s="37"/>
      <c r="AU28" s="9" t="b">
        <f>AND((Liste04[[#This Row],[Wahl]]=0),LEN(Liste04[[#This Row],[Wahl]])=1)</f>
        <v>0</v>
      </c>
      <c r="AV28" s="9">
        <f t="array" ref="AV28">SUM((ROW(Liste04[Platz])&lt;=ROW())*(Liste04[Platz]=Liste04[[#This Row],[Platz]])*NOT(Liste04[IstGestrichen]))*NOT(Liste04[[#This Row],[IstGestrichen]])</f>
        <v>24</v>
      </c>
      <c r="AW28" s="9">
        <f t="array" ref="AW28">MIN(SUMIFS(Liste04[Wahl],Liste04[Platz],Liste04[[#This Row],[Platz]]),3)</f>
        <v>0</v>
      </c>
      <c r="AX28" s="9">
        <f>(Liste04[[#This Row],[Mult]]&gt;Liste04[[#This Row],[GülzST2]])*1*NOT(Liste04[[#This Row],[IstGestrichen]])</f>
        <v>1</v>
      </c>
      <c r="AY28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8" s="14">
        <f>IF(AND(NOT(ISBLANK(AR$3)),Liste04[[#This Row],[ListPotKum]]&lt;=Reststimmen),Liste04[[#This Row],[ListPot]],0)</f>
        <v>0</v>
      </c>
      <c r="BA28" s="4">
        <f>MIN(SUMIFS(Liste04[Wahl],Liste04[Platz],Liste04[[#This Row],[Platz]]),3)*(Liste04[[#This Row],[Mult]]=1)*StimmenzahlOk</f>
        <v>0</v>
      </c>
      <c r="BB28" s="15">
        <f>SUMIFS(Liste04[ListVerg],Liste04[Platz],Liste04[[#This Row],[Platz]])*(Liste04[[#This Row],[Mult]]=1)*ListenkreuzeOk</f>
        <v>0</v>
      </c>
      <c r="BC28" s="4">
        <f>Liste04[[#This Row],[Liste]]+Liste04[[#This Row],[Einzel]]</f>
        <v>0</v>
      </c>
      <c r="BE28" s="8"/>
      <c r="BF28" s="3">
        <v>524</v>
      </c>
      <c r="BG28" s="28" t="s">
        <v>448</v>
      </c>
      <c r="BH28" s="9" t="b">
        <f>AND((Liste05[[#This Row],[Wahl]]=0),LEN(Liste05[[#This Row],[Wahl]])=1)</f>
        <v>0</v>
      </c>
      <c r="BI28" s="9">
        <f t="array" ref="BI28">SUM((ROW(Liste05[Platz])&lt;=ROW())*(Liste05[Platz]=Liste05[[#This Row],[Platz]])*NOT(Liste05[IstGestrichen]))*NOT(Liste05[[#This Row],[IstGestrichen]])</f>
        <v>1</v>
      </c>
      <c r="BJ28" s="9">
        <f t="array" ref="BJ28">MIN(SUMIFS(Liste05[Wahl],Liste05[Platz],Liste05[[#This Row],[Platz]]),3)</f>
        <v>0</v>
      </c>
      <c r="BK28" s="9">
        <f>(Liste05[[#This Row],[Mult]]&gt;Liste05[[#This Row],[GülzST2]])*1*NOT(Liste05[[#This Row],[IstGestrichen]])</f>
        <v>1</v>
      </c>
      <c r="BL28" s="9">
        <f>SUMIFS(Liste05[ListPot],Liste05[Platz],Liste05[[#This Row],[Platz]],Liste05[Mult],"&lt;="&amp;Liste05[[#This Row],[Mult]])+SUMIFS(Liste05[ListPot],Liste05[Platz],"&lt;"&amp;Liste05[[#This Row],[Platz]])*Liste05[[#This Row],[ListPot]]</f>
        <v>24</v>
      </c>
      <c r="BM28" s="9">
        <f>IF(AND(NOT(ISBLANK(BE$3)),Liste05[[#This Row],[ListPotKum]]&lt;=Reststimmen),Liste05[[#This Row],[ListPot]],0)</f>
        <v>0</v>
      </c>
      <c r="BN28" s="4">
        <f>MIN(SUMIFS(Liste05[Wahl],Liste05[Platz],Liste05[[#This Row],[Platz]]),3)*(Liste05[[#This Row],[Mult]]=1)*StimmenzahlOk</f>
        <v>0</v>
      </c>
      <c r="BO28" s="4">
        <f>SUMIFS(Liste05[ListVerg],Liste05[Platz],Liste05[[#This Row],[Platz]])*(Liste05[[#This Row],[Mult]]=1)*ListenkreuzeOk</f>
        <v>0</v>
      </c>
      <c r="BP28" s="4">
        <f>Liste05[[#This Row],[Liste]]+Liste05[[#This Row],[Einzel]]</f>
        <v>0</v>
      </c>
      <c r="BR28" s="8"/>
      <c r="BS28" s="3"/>
      <c r="BT28" s="28"/>
      <c r="BU28" s="9" t="b">
        <f>AND((Liste06[[#This Row],[Spalte1]]=0),LEN(Liste06[[#This Row],[Spalte1]])=1)</f>
        <v>0</v>
      </c>
      <c r="BV28" s="9">
        <f t="array" ref="BV28">SUM((ROW(Liste06[Spalte2])&lt;=ROW())*(Liste06[Spalte2]=Liste06[[#This Row],[Spalte2]])*NOT(Liste06[IstGestrichen]))*NOT(Liste06[[#This Row],[IstGestrichen]])</f>
        <v>24</v>
      </c>
      <c r="BW28" s="9">
        <f t="array" ref="BW28">MIN(SUMIFS(Liste06[Spalte1],Liste06[Spalte2],Liste06[[#This Row],[Spalte2]]),3)</f>
        <v>0</v>
      </c>
      <c r="BX28" s="9">
        <f>(Liste06[[#This Row],[Mult]]&gt;Liste06[[#This Row],[GülzST2]])*1*NOT(Liste06[[#This Row],[IstGestrichen]])</f>
        <v>1</v>
      </c>
      <c r="BY28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8" s="14">
        <f>IF(AND(NOT(ISBLANK(BR$3)),Liste06[[#This Row],[ListPotKum]]&lt;=Reststimmen),Liste06[[#This Row],[ListPot]],0)</f>
        <v>0</v>
      </c>
      <c r="CA28" s="4">
        <f>MIN(SUMIFS(Liste06[Spalte1],Liste06[Spalte2],Liste06[[#This Row],[Spalte2]]),3)*(Liste06[[#This Row],[Mult]]=1)*StimmenzahlOk</f>
        <v>0</v>
      </c>
      <c r="CB28" s="15">
        <f>SUMIFS(Liste06[ListVerg],Liste06[Spalte2],Liste06[[#This Row],[Spalte2]])*(Liste06[[#This Row],[Mult]]=1)*ListenkreuzeOk</f>
        <v>0</v>
      </c>
      <c r="CC28" s="4">
        <f>Liste06[[#This Row],[Liste]]+Liste06[[#This Row],[Einzel]]</f>
        <v>0</v>
      </c>
      <c r="CE28" s="8"/>
      <c r="CF28" s="3">
        <v>724</v>
      </c>
      <c r="CG28" s="28" t="s">
        <v>498</v>
      </c>
      <c r="CH28" s="9" t="b">
        <f>AND((Liste07[[#This Row],[Wahl]]=0),LEN(Liste07[[#This Row],[Wahl]])=1)</f>
        <v>0</v>
      </c>
      <c r="CI28" s="9">
        <f t="array" ref="CI28">SUM((ROW(Liste07[Platz])&lt;=ROW())*(Liste07[Platz]=Liste07[[#This Row],[Platz]])*NOT(Liste07[IstGestrichen]))*NOT(Liste07[[#This Row],[IstGestrichen]])</f>
        <v>1</v>
      </c>
      <c r="CJ28" s="9">
        <f t="array" ref="CJ28">MIN(SUMIFS(Liste07[Wahl],Liste07[Platz],Liste07[[#This Row],[Platz]]),3)</f>
        <v>0</v>
      </c>
      <c r="CK28" s="9">
        <f>(Liste07[[#This Row],[Mult]]&gt;Liste07[[#This Row],[GülzST2]])*1*NOT(Liste07[[#This Row],[IstGestrichen]])</f>
        <v>1</v>
      </c>
      <c r="CL28" s="9">
        <f>SUMIFS(Liste07[ListPot],Liste07[Platz],Liste07[[#This Row],[Platz]],Liste07[Mult],"&lt;="&amp;Liste07[[#This Row],[Mult]])+SUMIFS(Liste07[ListPot],Liste07[Platz],"&lt;"&amp;Liste07[[#This Row],[Platz]])*Liste07[[#This Row],[ListPot]]</f>
        <v>24</v>
      </c>
      <c r="CM28" s="14">
        <f>IF(AND(NOT(ISBLANK(CE$3)),Liste07[[#This Row],[ListPotKum]]&lt;=Reststimmen),Liste07[[#This Row],[ListPot]],0)</f>
        <v>0</v>
      </c>
      <c r="CN28" s="4">
        <f>MIN(SUMIFS(Liste07[Wahl],Liste07[Platz],Liste07[[#This Row],[Platz]]),3)*(Liste07[[#This Row],[Mult]]=1)*StimmenzahlOk</f>
        <v>0</v>
      </c>
      <c r="CO28" s="15">
        <f>SUMIFS(Liste07[ListVerg],Liste07[Platz],Liste07[[#This Row],[Platz]])*(Liste07[[#This Row],[Mult]]=1)*ListenkreuzeOk</f>
        <v>0</v>
      </c>
      <c r="CP28" s="4">
        <f>Liste07[[#This Row],[Liste]]+Liste07[[#This Row],[Einzel]]</f>
        <v>0</v>
      </c>
      <c r="CR28" s="8"/>
      <c r="CS28" s="3">
        <v>824</v>
      </c>
      <c r="CT28" s="28" t="s">
        <v>549</v>
      </c>
      <c r="CU28" s="9" t="b">
        <f>AND((Liste08[[#This Row],[Wahl]]=0),LEN(Liste08[[#This Row],[Wahl]])=1)</f>
        <v>0</v>
      </c>
      <c r="CV28" s="9">
        <f t="array" ref="CV28">SUM((ROW(Liste08[Platz])&lt;=ROW())*(Liste08[Platz]=Liste08[[#This Row],[Platz]])*NOT(Liste08[IstGestrichen]))*NOT(Liste08[[#This Row],[IstGestrichen]])</f>
        <v>1</v>
      </c>
      <c r="CW28" s="9">
        <f t="array" ref="CW28">MIN(SUMIFS(Liste08[Wahl],Liste08[Platz],Liste08[[#This Row],[Platz]]),3)</f>
        <v>0</v>
      </c>
      <c r="CX28" s="9">
        <f>(Liste08[[#This Row],[Mult]]&gt;Liste08[[#This Row],[GülzST2]])*1*NOT(Liste08[[#This Row],[IstGestrichen]])</f>
        <v>1</v>
      </c>
      <c r="CY28" s="9">
        <f>SUMIFS(Liste08[ListPot],Liste08[Platz],Liste08[[#This Row],[Platz]],Liste08[Mult],"&lt;="&amp;Liste08[[#This Row],[Mult]])+SUMIFS(Liste08[ListPot],Liste08[Platz],"&lt;"&amp;Liste08[[#This Row],[Platz]])*Liste08[[#This Row],[ListPot]]</f>
        <v>24</v>
      </c>
      <c r="CZ28" s="14">
        <f>IF(AND(NOT(ISBLANK(CR$3)),Liste08[[#This Row],[ListPotKum]]&lt;=Reststimmen),Liste08[[#This Row],[ListPot]],0)</f>
        <v>0</v>
      </c>
      <c r="DA28" s="4">
        <f>MIN(SUMIFS(Liste08[Wahl],Liste08[Platz],Liste08[[#This Row],[Platz]]),3)*(Liste08[[#This Row],[Mult]]=1)*StimmenzahlOk</f>
        <v>0</v>
      </c>
      <c r="DB28" s="15">
        <f>SUMIFS(Liste08[ListVerg],Liste08[Platz],Liste08[[#This Row],[Platz]])*(Liste08[[#This Row],[Mult]]=1)*ListenkreuzeOk</f>
        <v>0</v>
      </c>
      <c r="DC28" s="4">
        <f>Liste08[[#This Row],[Liste]]+Liste08[[#This Row],[Einzel]]</f>
        <v>0</v>
      </c>
      <c r="DE28" s="8"/>
      <c r="DF28" s="3"/>
      <c r="DG28" s="28"/>
      <c r="DH28" s="9" t="b">
        <f>AND((Liste09[[#This Row],[Wahl]]=0),LEN(Liste09[[#This Row],[Wahl]])=1)</f>
        <v>0</v>
      </c>
      <c r="DI28" s="9">
        <f t="array" ref="DI28">SUM((ROW(Liste09[Platz])&lt;=ROW())*(Liste09[Platz]=Liste09[[#This Row],[Platz]])*NOT(Liste09[IstGestrichen]))*NOT(Liste09[[#This Row],[IstGestrichen]])</f>
        <v>24</v>
      </c>
      <c r="DJ28" s="9">
        <f t="array" ref="DJ28">MIN(SUMIFS(Liste09[Wahl],Liste09[Platz],Liste09[[#This Row],[Platz]]),3)</f>
        <v>0</v>
      </c>
      <c r="DK28" s="9">
        <f>(Liste09[[#This Row],[Mult]]&gt;Liste09[[#This Row],[GülzST2]])*1*NOT(Liste09[[#This Row],[IstGestrichen]])</f>
        <v>1</v>
      </c>
      <c r="DL28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8" s="14">
        <f>IF(AND(NOT(ISBLANK(DE$3)),Liste09[[#This Row],[ListPotKum]]&lt;=Reststimmen),Liste09[[#This Row],[ListPot]],0)</f>
        <v>0</v>
      </c>
      <c r="DN28" s="4">
        <f>MIN(SUMIFS(Liste09[Wahl],Liste09[Platz],Liste09[[#This Row],[Platz]]),3)*(Liste09[[#This Row],[Mult]]=1)*StimmenzahlOk</f>
        <v>0</v>
      </c>
      <c r="DO28" s="15">
        <f>SUMIFS(Liste09[ListVerg],Liste09[Platz],Liste09[[#This Row],[Platz]])*(Liste09[[#This Row],[Mult]]=1)*ListenkreuzeOk</f>
        <v>0</v>
      </c>
      <c r="DP28" s="4">
        <f>Liste09[[#This Row],[Liste]]+Liste09[[#This Row],[Einzel]]</f>
        <v>0</v>
      </c>
    </row>
    <row r="29" spans="1:120" ht="15.75" x14ac:dyDescent="0.25">
      <c r="A29" s="17"/>
      <c r="B29" s="17"/>
      <c r="E29" s="8"/>
      <c r="F29" s="3">
        <v>125</v>
      </c>
      <c r="G29" s="2" t="s">
        <v>297</v>
      </c>
      <c r="H29" s="9" t="b">
        <f>AND((Liste01[[#This Row],[Wahl]]=0),LEN(Liste01[[#This Row],[Wahl]])=1)</f>
        <v>0</v>
      </c>
      <c r="I29" s="9">
        <f t="array" ref="I29">SUM((ROW(Liste01[Platz])&lt;=ROW())*(Liste01[Platz]=Liste01[[#This Row],[Platz]])*NOT(Liste01[IstGestrichen]))*NOT(Liste01[[#This Row],[IstGestrichen]])</f>
        <v>1</v>
      </c>
      <c r="J29" s="9">
        <f t="array" ref="J29">MIN(SUMIFS(Liste01[Wahl],Liste01[Platz],Liste01[[#This Row],[Platz]]),3)</f>
        <v>0</v>
      </c>
      <c r="K29" s="9">
        <f>(Liste01[[#This Row],[Mult]]&gt;Liste01[[#This Row],[GülzST2]])*1*NOT(Liste01[[#This Row],[IstGestrichen]])</f>
        <v>1</v>
      </c>
      <c r="L29" s="9">
        <f>SUMIFS(Liste01[ListPot],Liste01[Platz],Liste01[[#This Row],[Platz]],Liste01[Mult],"&lt;="&amp;Liste01[[#This Row],[Mult]])+SUMIFS(Liste01[ListPot],Liste01[Platz],"&lt;"&amp;Liste01[[#This Row],[Platz]])*Liste01[[#This Row],[ListPot]]</f>
        <v>25</v>
      </c>
      <c r="M29" s="14">
        <f>IF(AND(NOT(ISBLANK(E$3)),Liste01[[#This Row],[ListPotKum]]&lt;=Reststimmen),Liste01[[#This Row],[ListPot]],0)</f>
        <v>0</v>
      </c>
      <c r="N29" s="4">
        <f>MIN(SUMIFS(Liste01[Wahl],Liste01[Platz],Liste01[[#This Row],[Platz]]),3)*(Liste01[[#This Row],[Mult]]=1)*StimmenzahlOk</f>
        <v>0</v>
      </c>
      <c r="O29" s="15">
        <f>SUMIFS(Liste01[ListVerg],Liste01[Platz],Liste01[[#This Row],[Platz]])*(Liste01[[#This Row],[Mult]]=1)*ListenkreuzeOk</f>
        <v>0</v>
      </c>
      <c r="P29" s="4">
        <f>Liste01[[#This Row],[Liste]]+Liste01[[#This Row],[Einzel]]</f>
        <v>0</v>
      </c>
      <c r="R29" s="8"/>
      <c r="S29" s="3">
        <v>225</v>
      </c>
      <c r="T29" s="28" t="s">
        <v>347</v>
      </c>
      <c r="U29" s="9" t="b">
        <f>AND((Liste02[[#This Row],[Wahl]]=0),LEN(Liste02[[#This Row],[Wahl]])=1)</f>
        <v>0</v>
      </c>
      <c r="V29" s="9">
        <f t="array" ref="V29">SUM((ROW(Liste02[Platz])&lt;=ROW())*(Liste02[Platz]=Liste02[[#This Row],[Platz]])*NOT(Liste02[IstGestrichen]))*NOT(Liste02[[#This Row],[IstGestrichen]])</f>
        <v>1</v>
      </c>
      <c r="W29" s="9">
        <f t="array" ref="W29">MIN(SUMIFS(Liste02[Wahl],Liste02[Platz],Liste02[[#This Row],[Platz]]),3)</f>
        <v>0</v>
      </c>
      <c r="X29" s="9">
        <f>(Liste02[[#This Row],[Mult]]&gt;Liste02[[#This Row],[GülzST2]])*1*NOT(Liste02[[#This Row],[IstGestrichen]])</f>
        <v>1</v>
      </c>
      <c r="Y29" s="9">
        <f>SUMIFS(Liste02[ListPot],Liste02[Platz],Liste02[[#This Row],[Platz]],Liste02[Mult],"&lt;="&amp;Liste02[[#This Row],[Mult]])+SUMIFS(Liste02[ListPot],Liste02[Platz],"&lt;"&amp;Liste02[[#This Row],[Platz]])*Liste02[[#This Row],[ListPot]]</f>
        <v>25</v>
      </c>
      <c r="Z29" s="14">
        <f>IF(AND(NOT(ISBLANK(R$3)),Liste02[[#This Row],[ListPotKum]]&lt;=Reststimmen),Liste02[[#This Row],[ListPot]],0)</f>
        <v>0</v>
      </c>
      <c r="AA29" s="4">
        <f>MIN(SUMIFS(Liste02[Wahl],Liste02[Platz],Liste02[[#This Row],[Platz]]),3)*(Liste02[[#This Row],[Mult]]=1)*StimmenzahlOk</f>
        <v>0</v>
      </c>
      <c r="AB29" s="15">
        <f>SUMIFS(Liste02[ListVerg],Liste02[Platz],Liste02[[#This Row],[Platz]])*(Liste02[[#This Row],[Mult]]=1)*ListenkreuzeOk</f>
        <v>0</v>
      </c>
      <c r="AC29" s="4">
        <f>Liste02[[#This Row],[Liste]]+Liste02[[#This Row],[Einzel]]</f>
        <v>0</v>
      </c>
      <c r="AE29" s="8"/>
      <c r="AF29" s="3">
        <v>325</v>
      </c>
      <c r="AG29" s="28" t="s">
        <v>397</v>
      </c>
      <c r="AH29" s="9" t="b">
        <f>AND((Liste03[[#This Row],[Wahl]]=0),LEN(Liste03[[#This Row],[Wahl]])=1)</f>
        <v>0</v>
      </c>
      <c r="AI29" s="9">
        <f t="array" ref="AI29">SUM((ROW(Liste03[Platz])&lt;=ROW())*(Liste03[Platz]=Liste03[[#This Row],[Platz]])*NOT(Liste03[IstGestrichen]))*NOT(Liste03[[#This Row],[IstGestrichen]])</f>
        <v>1</v>
      </c>
      <c r="AJ29" s="9">
        <f t="array" ref="AJ29">MIN(SUMIFS(Liste03[Wahl],Liste03[Platz],Liste03[[#This Row],[Platz]]),3)</f>
        <v>0</v>
      </c>
      <c r="AK29" s="9">
        <f>(Liste03[[#This Row],[Mult]]&gt;Liste03[[#This Row],[GülzST2]])*1*NOT(Liste03[[#This Row],[IstGestrichen]])</f>
        <v>1</v>
      </c>
      <c r="AL29" s="9">
        <f>SUMIFS(Liste03[ListPot],Liste03[Platz],Liste03[[#This Row],[Platz]],Liste03[Mult],"&lt;="&amp;Liste03[[#This Row],[Mult]])+SUMIFS(Liste03[ListPot],Liste03[Platz],"&lt;"&amp;Liste03[[#This Row],[Platz]])*Liste03[[#This Row],[ListPot]]</f>
        <v>25</v>
      </c>
      <c r="AM29" s="14">
        <f>IF(AND(NOT(ISBLANK(AE$3)),Liste03[[#This Row],[ListPotKum]]&lt;=Reststimmen),Liste03[[#This Row],[ListPot]],0)</f>
        <v>0</v>
      </c>
      <c r="AN29" s="4">
        <f>MIN(SUMIFS(Liste03[Wahl],Liste03[Platz],Liste03[[#This Row],[Platz]]),3)*(Liste03[[#This Row],[Mult]]=1)*StimmenzahlOk</f>
        <v>0</v>
      </c>
      <c r="AO29" s="15">
        <f>SUMIFS(Liste03[ListVerg],Liste03[Platz],Liste03[[#This Row],[Platz]])*(Liste03[[#This Row],[Mult]]=1)*ListenkreuzeOk</f>
        <v>0</v>
      </c>
      <c r="AP29" s="4">
        <f>Liste03[[#This Row],[Liste]]+Liste03[[#This Row],[Einzel]]</f>
        <v>0</v>
      </c>
      <c r="AR29" s="42"/>
      <c r="AS29" s="3"/>
      <c r="AT29" s="37"/>
      <c r="AU29" s="9" t="b">
        <f>AND((Liste04[[#This Row],[Wahl]]=0),LEN(Liste04[[#This Row],[Wahl]])=1)</f>
        <v>0</v>
      </c>
      <c r="AV29" s="9">
        <f t="array" ref="AV29">SUM((ROW(Liste04[Platz])&lt;=ROW())*(Liste04[Platz]=Liste04[[#This Row],[Platz]])*NOT(Liste04[IstGestrichen]))*NOT(Liste04[[#This Row],[IstGestrichen]])</f>
        <v>25</v>
      </c>
      <c r="AW29" s="9">
        <f t="array" ref="AW29">MIN(SUMIFS(Liste04[Wahl],Liste04[Platz],Liste04[[#This Row],[Platz]]),3)</f>
        <v>0</v>
      </c>
      <c r="AX29" s="9">
        <f>(Liste04[[#This Row],[Mult]]&gt;Liste04[[#This Row],[GülzST2]])*1*NOT(Liste04[[#This Row],[IstGestrichen]])</f>
        <v>1</v>
      </c>
      <c r="AY29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29" s="14">
        <f>IF(AND(NOT(ISBLANK(AR$3)),Liste04[[#This Row],[ListPotKum]]&lt;=Reststimmen),Liste04[[#This Row],[ListPot]],0)</f>
        <v>0</v>
      </c>
      <c r="BA29" s="4">
        <f>MIN(SUMIFS(Liste04[Wahl],Liste04[Platz],Liste04[[#This Row],[Platz]]),3)*(Liste04[[#This Row],[Mult]]=1)*StimmenzahlOk</f>
        <v>0</v>
      </c>
      <c r="BB29" s="15">
        <f>SUMIFS(Liste04[ListVerg],Liste04[Platz],Liste04[[#This Row],[Platz]])*(Liste04[[#This Row],[Mult]]=1)*ListenkreuzeOk</f>
        <v>0</v>
      </c>
      <c r="BC29" s="4">
        <f>Liste04[[#This Row],[Liste]]+Liste04[[#This Row],[Einzel]]</f>
        <v>0</v>
      </c>
      <c r="BE29" s="8"/>
      <c r="BF29" s="3">
        <v>525</v>
      </c>
      <c r="BG29" s="28" t="s">
        <v>449</v>
      </c>
      <c r="BH29" s="9" t="b">
        <f>AND((Liste05[[#This Row],[Wahl]]=0),LEN(Liste05[[#This Row],[Wahl]])=1)</f>
        <v>0</v>
      </c>
      <c r="BI29" s="9">
        <f t="array" ref="BI29">SUM((ROW(Liste05[Platz])&lt;=ROW())*(Liste05[Platz]=Liste05[[#This Row],[Platz]])*NOT(Liste05[IstGestrichen]))*NOT(Liste05[[#This Row],[IstGestrichen]])</f>
        <v>1</v>
      </c>
      <c r="BJ29" s="9">
        <f t="array" ref="BJ29">MIN(SUMIFS(Liste05[Wahl],Liste05[Platz],Liste05[[#This Row],[Platz]]),3)</f>
        <v>0</v>
      </c>
      <c r="BK29" s="9">
        <f>(Liste05[[#This Row],[Mult]]&gt;Liste05[[#This Row],[GülzST2]])*1*NOT(Liste05[[#This Row],[IstGestrichen]])</f>
        <v>1</v>
      </c>
      <c r="BL29" s="9">
        <f>SUMIFS(Liste05[ListPot],Liste05[Platz],Liste05[[#This Row],[Platz]],Liste05[Mult],"&lt;="&amp;Liste05[[#This Row],[Mult]])+SUMIFS(Liste05[ListPot],Liste05[Platz],"&lt;"&amp;Liste05[[#This Row],[Platz]])*Liste05[[#This Row],[ListPot]]</f>
        <v>25</v>
      </c>
      <c r="BM29" s="14">
        <f>IF(AND(NOT(ISBLANK(BE$3)),Liste05[[#This Row],[ListPotKum]]&lt;=Reststimmen),Liste05[[#This Row],[ListPot]],0)</f>
        <v>0</v>
      </c>
      <c r="BN29" s="4">
        <f>MIN(SUMIFS(Liste05[Wahl],Liste05[Platz],Liste05[[#This Row],[Platz]]),3)*(Liste05[[#This Row],[Mult]]=1)*StimmenzahlOk</f>
        <v>0</v>
      </c>
      <c r="BO29" s="15">
        <f>SUMIFS(Liste05[ListVerg],Liste05[Platz],Liste05[[#This Row],[Platz]])*(Liste05[[#This Row],[Mult]]=1)*ListenkreuzeOk</f>
        <v>0</v>
      </c>
      <c r="BP29" s="4">
        <f>Liste05[[#This Row],[Liste]]+Liste05[[#This Row],[Einzel]]</f>
        <v>0</v>
      </c>
      <c r="BR29" s="8"/>
      <c r="BS29" s="3"/>
      <c r="BT29" s="37"/>
      <c r="BU29" t="b">
        <f>AND((Liste06[[#This Row],[Spalte1]]=0),LEN(Liste06[[#This Row],[Spalte1]])=1)</f>
        <v>0</v>
      </c>
      <c r="BV29">
        <f t="array" ref="BV29">SUM((ROW(Liste06[Spalte2])&lt;=ROW())*(Liste06[Spalte2]=Liste06[[#This Row],[Spalte2]])*NOT(Liste06[IstGestrichen]))*NOT(Liste06[[#This Row],[IstGestrichen]])</f>
        <v>25</v>
      </c>
      <c r="BW29">
        <f t="array" ref="BW29">MIN(SUMIFS(Liste06[Spalte1],Liste06[Spalte2],Liste06[[#This Row],[Spalte2]]),3)</f>
        <v>0</v>
      </c>
      <c r="BX29">
        <f>(Liste06[[#This Row],[Mult]]&gt;Liste06[[#This Row],[GülzST2]])*1*NOT(Liste06[[#This Row],[IstGestrichen]])</f>
        <v>1</v>
      </c>
      <c r="BY2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29">
        <f>IF(AND(NOT(ISBLANK(BR$3)),Liste06[[#This Row],[ListPotKum]]&lt;=Reststimmen),Liste06[[#This Row],[ListPot]],0)</f>
        <v>0</v>
      </c>
      <c r="CA29" s="4">
        <f>MIN(SUMIFS(Liste06[Spalte1],Liste06[Spalte2],Liste06[[#This Row],[Spalte2]]),3)*(Liste06[[#This Row],[Mult]]=1)*StimmenzahlOk</f>
        <v>0</v>
      </c>
      <c r="CB29" s="4">
        <f>SUMIFS(Liste06[ListVerg],Liste06[Spalte2],Liste06[[#This Row],[Spalte2]])*(Liste06[[#This Row],[Mult]]=1)*ListenkreuzeOk</f>
        <v>0</v>
      </c>
      <c r="CC29" s="4">
        <f>Liste06[[#This Row],[Liste]]+Liste06[[#This Row],[Einzel]]</f>
        <v>0</v>
      </c>
      <c r="CE29" s="8"/>
      <c r="CF29" s="3">
        <v>725</v>
      </c>
      <c r="CG29" s="28" t="s">
        <v>499</v>
      </c>
      <c r="CH29" t="b">
        <f>AND((Liste07[[#This Row],[Wahl]]=0),LEN(Liste07[[#This Row],[Wahl]])=1)</f>
        <v>0</v>
      </c>
      <c r="CI29">
        <f t="array" ref="CI29">SUM((ROW(Liste07[Platz])&lt;=ROW())*(Liste07[Platz]=Liste07[[#This Row],[Platz]])*NOT(Liste07[IstGestrichen]))*NOT(Liste07[[#This Row],[IstGestrichen]])</f>
        <v>1</v>
      </c>
      <c r="CJ29">
        <f t="array" ref="CJ29">MIN(SUMIFS(Liste07[Wahl],Liste07[Platz],Liste07[[#This Row],[Platz]]),3)</f>
        <v>0</v>
      </c>
      <c r="CK29">
        <f>(Liste07[[#This Row],[Mult]]&gt;Liste07[[#This Row],[GülzST2]])*1*NOT(Liste07[[#This Row],[IstGestrichen]])</f>
        <v>1</v>
      </c>
      <c r="CL29">
        <f>SUMIFS(Liste07[ListPot],Liste07[Platz],Liste07[[#This Row],[Platz]],Liste07[Mult],"&lt;="&amp;Liste07[[#This Row],[Mult]])+SUMIFS(Liste07[ListPot],Liste07[Platz],"&lt;"&amp;Liste07[[#This Row],[Platz]])*Liste07[[#This Row],[ListPot]]</f>
        <v>25</v>
      </c>
      <c r="CM29">
        <f>IF(AND(NOT(ISBLANK(CE$3)),Liste07[[#This Row],[ListPotKum]]&lt;=Reststimmen),Liste07[[#This Row],[ListPot]],0)</f>
        <v>0</v>
      </c>
      <c r="CN29" s="4">
        <f>MIN(SUMIFS(Liste07[Wahl],Liste07[Platz],Liste07[[#This Row],[Platz]]),3)*(Liste07[[#This Row],[Mult]]=1)*StimmenzahlOk</f>
        <v>0</v>
      </c>
      <c r="CO29" s="4">
        <f>SUMIFS(Liste07[ListVerg],Liste07[Platz],Liste07[[#This Row],[Platz]])*(Liste07[[#This Row],[Mult]]=1)*ListenkreuzeOk</f>
        <v>0</v>
      </c>
      <c r="CP29" s="4">
        <f>Liste07[[#This Row],[Liste]]+Liste07[[#This Row],[Einzel]]</f>
        <v>0</v>
      </c>
      <c r="CR29" s="8"/>
      <c r="CS29" s="3">
        <v>825</v>
      </c>
      <c r="CT29" s="28" t="s">
        <v>550</v>
      </c>
      <c r="CU29" t="b">
        <f>AND((Liste08[[#This Row],[Wahl]]=0),LEN(Liste08[[#This Row],[Wahl]])=1)</f>
        <v>0</v>
      </c>
      <c r="CV29">
        <f t="array" ref="CV29">SUM((ROW(Liste08[Platz])&lt;=ROW())*(Liste08[Platz]=Liste08[[#This Row],[Platz]])*NOT(Liste08[IstGestrichen]))*NOT(Liste08[[#This Row],[IstGestrichen]])</f>
        <v>1</v>
      </c>
      <c r="CW29">
        <f t="array" ref="CW29">MIN(SUMIFS(Liste08[Wahl],Liste08[Platz],Liste08[[#This Row],[Platz]]),3)</f>
        <v>0</v>
      </c>
      <c r="CX29">
        <f>(Liste08[[#This Row],[Mult]]&gt;Liste08[[#This Row],[GülzST2]])*1*NOT(Liste08[[#This Row],[IstGestrichen]])</f>
        <v>1</v>
      </c>
      <c r="CY29">
        <f>SUMIFS(Liste08[ListPot],Liste08[Platz],Liste08[[#This Row],[Platz]],Liste08[Mult],"&lt;="&amp;Liste08[[#This Row],[Mult]])+SUMIFS(Liste08[ListPot],Liste08[Platz],"&lt;"&amp;Liste08[[#This Row],[Platz]])*Liste08[[#This Row],[ListPot]]</f>
        <v>25</v>
      </c>
      <c r="CZ29">
        <f>IF(AND(NOT(ISBLANK(CR$3)),Liste08[[#This Row],[ListPotKum]]&lt;=Reststimmen),Liste08[[#This Row],[ListPot]],0)</f>
        <v>0</v>
      </c>
      <c r="DA29" s="4">
        <f>MIN(SUMIFS(Liste08[Wahl],Liste08[Platz],Liste08[[#This Row],[Platz]]),3)*(Liste08[[#This Row],[Mult]]=1)*StimmenzahlOk</f>
        <v>0</v>
      </c>
      <c r="DB29" s="4">
        <f>SUMIFS(Liste08[ListVerg],Liste08[Platz],Liste08[[#This Row],[Platz]])*(Liste08[[#This Row],[Mult]]=1)*ListenkreuzeOk</f>
        <v>0</v>
      </c>
      <c r="DC29" s="4">
        <f>Liste08[[#This Row],[Liste]]+Liste08[[#This Row],[Einzel]]</f>
        <v>0</v>
      </c>
      <c r="DE29" s="8"/>
      <c r="DF29" s="3"/>
      <c r="DG29" s="28"/>
      <c r="DH29" t="b">
        <f>AND((Liste09[[#This Row],[Wahl]]=0),LEN(Liste09[[#This Row],[Wahl]])=1)</f>
        <v>0</v>
      </c>
      <c r="DI29">
        <f t="array" ref="DI29">SUM((ROW(Liste09[Platz])&lt;=ROW())*(Liste09[Platz]=Liste09[[#This Row],[Platz]])*NOT(Liste09[IstGestrichen]))*NOT(Liste09[[#This Row],[IstGestrichen]])</f>
        <v>25</v>
      </c>
      <c r="DJ29">
        <f t="array" ref="DJ29">MIN(SUMIFS(Liste09[Wahl],Liste09[Platz],Liste09[[#This Row],[Platz]]),3)</f>
        <v>0</v>
      </c>
      <c r="DK29">
        <f>(Liste09[[#This Row],[Mult]]&gt;Liste09[[#This Row],[GülzST2]])*1*NOT(Liste09[[#This Row],[IstGestrichen]])</f>
        <v>1</v>
      </c>
      <c r="DL2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29">
        <f>IF(AND(NOT(ISBLANK(DE$3)),Liste09[[#This Row],[ListPotKum]]&lt;=Reststimmen),Liste09[[#This Row],[ListPot]],0)</f>
        <v>0</v>
      </c>
      <c r="DN29" s="4">
        <f>MIN(SUMIFS(Liste09[Wahl],Liste09[Platz],Liste09[[#This Row],[Platz]]),3)*(Liste09[[#This Row],[Mult]]=1)*StimmenzahlOk</f>
        <v>0</v>
      </c>
      <c r="DO29" s="4">
        <f>SUMIFS(Liste09[ListVerg],Liste09[Platz],Liste09[[#This Row],[Platz]])*(Liste09[[#This Row],[Mult]]=1)*ListenkreuzeOk</f>
        <v>0</v>
      </c>
      <c r="DP29" s="4">
        <f>Liste09[[#This Row],[Liste]]+Liste09[[#This Row],[Einzel]]</f>
        <v>0</v>
      </c>
    </row>
    <row r="30" spans="1:120" ht="15.75" x14ac:dyDescent="0.25">
      <c r="A30" s="17"/>
      <c r="B30" s="17"/>
      <c r="E30" s="8"/>
      <c r="F30" s="3">
        <v>126</v>
      </c>
      <c r="G30" s="2" t="s">
        <v>298</v>
      </c>
      <c r="H30" s="9" t="b">
        <f>AND((Liste01[[#This Row],[Wahl]]=0),LEN(Liste01[[#This Row],[Wahl]])=1)</f>
        <v>0</v>
      </c>
      <c r="I30" s="9">
        <f t="array" ref="I30">SUM((ROW(Liste01[Platz])&lt;=ROW())*(Liste01[Platz]=Liste01[[#This Row],[Platz]])*NOT(Liste01[IstGestrichen]))*NOT(Liste01[[#This Row],[IstGestrichen]])</f>
        <v>1</v>
      </c>
      <c r="J30" s="9">
        <f t="array" ref="J30">MIN(SUMIFS(Liste01[Wahl],Liste01[Platz],Liste01[[#This Row],[Platz]]),3)</f>
        <v>0</v>
      </c>
      <c r="K30" s="9">
        <f>(Liste01[[#This Row],[Mult]]&gt;Liste01[[#This Row],[GülzST2]])*1*NOT(Liste01[[#This Row],[IstGestrichen]])</f>
        <v>1</v>
      </c>
      <c r="L30" s="9">
        <f>SUMIFS(Liste01[ListPot],Liste01[Platz],Liste01[[#This Row],[Platz]],Liste01[Mult],"&lt;="&amp;Liste01[[#This Row],[Mult]])+SUMIFS(Liste01[ListPot],Liste01[Platz],"&lt;"&amp;Liste01[[#This Row],[Platz]])*Liste01[[#This Row],[ListPot]]</f>
        <v>26</v>
      </c>
      <c r="M30" s="14">
        <f>IF(AND(NOT(ISBLANK(E$3)),Liste01[[#This Row],[ListPotKum]]&lt;=Reststimmen),Liste01[[#This Row],[ListPot]],0)</f>
        <v>0</v>
      </c>
      <c r="N30" s="4">
        <f>MIN(SUMIFS(Liste01[Wahl],Liste01[Platz],Liste01[[#This Row],[Platz]]),3)*(Liste01[[#This Row],[Mult]]=1)*StimmenzahlOk</f>
        <v>0</v>
      </c>
      <c r="O30" s="15">
        <f>SUMIFS(Liste01[ListVerg],Liste01[Platz],Liste01[[#This Row],[Platz]])*(Liste01[[#This Row],[Mult]]=1)*ListenkreuzeOk</f>
        <v>0</v>
      </c>
      <c r="P30" s="4">
        <f>Liste01[[#This Row],[Liste]]+Liste01[[#This Row],[Einzel]]</f>
        <v>0</v>
      </c>
      <c r="R30" s="8"/>
      <c r="S30" s="3">
        <v>226</v>
      </c>
      <c r="T30" s="28" t="s">
        <v>348</v>
      </c>
      <c r="U30" s="9" t="b">
        <f>AND((Liste02[[#This Row],[Wahl]]=0),LEN(Liste02[[#This Row],[Wahl]])=1)</f>
        <v>0</v>
      </c>
      <c r="V30" s="9">
        <f t="array" ref="V30">SUM((ROW(Liste02[Platz])&lt;=ROW())*(Liste02[Platz]=Liste02[[#This Row],[Platz]])*NOT(Liste02[IstGestrichen]))*NOT(Liste02[[#This Row],[IstGestrichen]])</f>
        <v>1</v>
      </c>
      <c r="W30" s="9">
        <f t="array" ref="W30">MIN(SUMIFS(Liste02[Wahl],Liste02[Platz],Liste02[[#This Row],[Platz]]),3)</f>
        <v>0</v>
      </c>
      <c r="X30" s="9">
        <f>(Liste02[[#This Row],[Mult]]&gt;Liste02[[#This Row],[GülzST2]])*1*NOT(Liste02[[#This Row],[IstGestrichen]])</f>
        <v>1</v>
      </c>
      <c r="Y30" s="9">
        <f>SUMIFS(Liste02[ListPot],Liste02[Platz],Liste02[[#This Row],[Platz]],Liste02[Mult],"&lt;="&amp;Liste02[[#This Row],[Mult]])+SUMIFS(Liste02[ListPot],Liste02[Platz],"&lt;"&amp;Liste02[[#This Row],[Platz]])*Liste02[[#This Row],[ListPot]]</f>
        <v>26</v>
      </c>
      <c r="Z30" s="14">
        <f>IF(AND(NOT(ISBLANK(R$3)),Liste02[[#This Row],[ListPotKum]]&lt;=Reststimmen),Liste02[[#This Row],[ListPot]],0)</f>
        <v>0</v>
      </c>
      <c r="AA30" s="4">
        <f>MIN(SUMIFS(Liste02[Wahl],Liste02[Platz],Liste02[[#This Row],[Platz]]),3)*(Liste02[[#This Row],[Mult]]=1)*StimmenzahlOk</f>
        <v>0</v>
      </c>
      <c r="AB30" s="15">
        <f>SUMIFS(Liste02[ListVerg],Liste02[Platz],Liste02[[#This Row],[Platz]])*(Liste02[[#This Row],[Mult]]=1)*ListenkreuzeOk</f>
        <v>0</v>
      </c>
      <c r="AC30" s="4">
        <f>Liste02[[#This Row],[Liste]]+Liste02[[#This Row],[Einzel]]</f>
        <v>0</v>
      </c>
      <c r="AE30" s="8"/>
      <c r="AF30" s="3">
        <v>326</v>
      </c>
      <c r="AG30" s="28" t="s">
        <v>398</v>
      </c>
      <c r="AH30" s="9" t="b">
        <f>AND((Liste03[[#This Row],[Wahl]]=0),LEN(Liste03[[#This Row],[Wahl]])=1)</f>
        <v>0</v>
      </c>
      <c r="AI30" s="9">
        <f t="array" ref="AI30">SUM((ROW(Liste03[Platz])&lt;=ROW())*(Liste03[Platz]=Liste03[[#This Row],[Platz]])*NOT(Liste03[IstGestrichen]))*NOT(Liste03[[#This Row],[IstGestrichen]])</f>
        <v>1</v>
      </c>
      <c r="AJ30" s="9">
        <f t="array" ref="AJ30">MIN(SUMIFS(Liste03[Wahl],Liste03[Platz],Liste03[[#This Row],[Platz]]),3)</f>
        <v>0</v>
      </c>
      <c r="AK30" s="9">
        <f>(Liste03[[#This Row],[Mult]]&gt;Liste03[[#This Row],[GülzST2]])*1*NOT(Liste03[[#This Row],[IstGestrichen]])</f>
        <v>1</v>
      </c>
      <c r="AL30" s="9">
        <f>SUMIFS(Liste03[ListPot],Liste03[Platz],Liste03[[#This Row],[Platz]],Liste03[Mult],"&lt;="&amp;Liste03[[#This Row],[Mult]])+SUMIFS(Liste03[ListPot],Liste03[Platz],"&lt;"&amp;Liste03[[#This Row],[Platz]])*Liste03[[#This Row],[ListPot]]</f>
        <v>26</v>
      </c>
      <c r="AM30" s="14">
        <f>IF(AND(NOT(ISBLANK(AE$3)),Liste03[[#This Row],[ListPotKum]]&lt;=Reststimmen),Liste03[[#This Row],[ListPot]],0)</f>
        <v>0</v>
      </c>
      <c r="AN30" s="4">
        <f>MIN(SUMIFS(Liste03[Wahl],Liste03[Platz],Liste03[[#This Row],[Platz]]),3)*(Liste03[[#This Row],[Mult]]=1)*StimmenzahlOk</f>
        <v>0</v>
      </c>
      <c r="AO30" s="15">
        <f>SUMIFS(Liste03[ListVerg],Liste03[Platz],Liste03[[#This Row],[Platz]])*(Liste03[[#This Row],[Mult]]=1)*ListenkreuzeOk</f>
        <v>0</v>
      </c>
      <c r="AP30" s="4">
        <f>Liste03[[#This Row],[Liste]]+Liste03[[#This Row],[Einzel]]</f>
        <v>0</v>
      </c>
      <c r="AR30" s="42"/>
      <c r="AS30" s="3"/>
      <c r="AT30" s="37"/>
      <c r="AU30" s="9" t="b">
        <f>AND((Liste04[[#This Row],[Wahl]]=0),LEN(Liste04[[#This Row],[Wahl]])=1)</f>
        <v>0</v>
      </c>
      <c r="AV30" s="9">
        <f t="array" ref="AV30">SUM((ROW(Liste04[Platz])&lt;=ROW())*(Liste04[Platz]=Liste04[[#This Row],[Platz]])*NOT(Liste04[IstGestrichen]))*NOT(Liste04[[#This Row],[IstGestrichen]])</f>
        <v>26</v>
      </c>
      <c r="AW30" s="9">
        <f t="array" ref="AW30">MIN(SUMIFS(Liste04[Wahl],Liste04[Platz],Liste04[[#This Row],[Platz]]),3)</f>
        <v>0</v>
      </c>
      <c r="AX30" s="9">
        <f>(Liste04[[#This Row],[Mult]]&gt;Liste04[[#This Row],[GülzST2]])*1*NOT(Liste04[[#This Row],[IstGestrichen]])</f>
        <v>1</v>
      </c>
      <c r="AY30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0" s="14">
        <f>IF(AND(NOT(ISBLANK(AR$3)),Liste04[[#This Row],[ListPotKum]]&lt;=Reststimmen),Liste04[[#This Row],[ListPot]],0)</f>
        <v>0</v>
      </c>
      <c r="BA30" s="4">
        <f>MIN(SUMIFS(Liste04[Wahl],Liste04[Platz],Liste04[[#This Row],[Platz]]),3)*(Liste04[[#This Row],[Mult]]=1)*StimmenzahlOk</f>
        <v>0</v>
      </c>
      <c r="BB30" s="15">
        <f>SUMIFS(Liste04[ListVerg],Liste04[Platz],Liste04[[#This Row],[Platz]])*(Liste04[[#This Row],[Mult]]=1)*ListenkreuzeOk</f>
        <v>0</v>
      </c>
      <c r="BC30" s="4">
        <f>Liste04[[#This Row],[Liste]]+Liste04[[#This Row],[Einzel]]</f>
        <v>0</v>
      </c>
      <c r="BE30" s="8"/>
      <c r="BF30" s="3">
        <v>526</v>
      </c>
      <c r="BG30" s="28" t="s">
        <v>450</v>
      </c>
      <c r="BH30" s="9" t="b">
        <f>AND((Liste05[[#This Row],[Wahl]]=0),LEN(Liste05[[#This Row],[Wahl]])=1)</f>
        <v>0</v>
      </c>
      <c r="BI30" s="9">
        <f t="array" ref="BI30">SUM((ROW(Liste05[Platz])&lt;=ROW())*(Liste05[Platz]=Liste05[[#This Row],[Platz]])*NOT(Liste05[IstGestrichen]))*NOT(Liste05[[#This Row],[IstGestrichen]])</f>
        <v>1</v>
      </c>
      <c r="BJ30" s="9">
        <f t="array" ref="BJ30">MIN(SUMIFS(Liste05[Wahl],Liste05[Platz],Liste05[[#This Row],[Platz]]),3)</f>
        <v>0</v>
      </c>
      <c r="BK30" s="9">
        <f>(Liste05[[#This Row],[Mult]]&gt;Liste05[[#This Row],[GülzST2]])*1*NOT(Liste05[[#This Row],[IstGestrichen]])</f>
        <v>1</v>
      </c>
      <c r="BL30" s="9">
        <f>SUMIFS(Liste05[ListPot],Liste05[Platz],Liste05[[#This Row],[Platz]],Liste05[Mult],"&lt;="&amp;Liste05[[#This Row],[Mult]])+SUMIFS(Liste05[ListPot],Liste05[Platz],"&lt;"&amp;Liste05[[#This Row],[Platz]])*Liste05[[#This Row],[ListPot]]</f>
        <v>26</v>
      </c>
      <c r="BM30" s="14">
        <f>IF(AND(NOT(ISBLANK(BE$3)),Liste05[[#This Row],[ListPotKum]]&lt;=Reststimmen),Liste05[[#This Row],[ListPot]],0)</f>
        <v>0</v>
      </c>
      <c r="BN30" s="4">
        <f>MIN(SUMIFS(Liste05[Wahl],Liste05[Platz],Liste05[[#This Row],[Platz]]),3)*(Liste05[[#This Row],[Mult]]=1)*StimmenzahlOk</f>
        <v>0</v>
      </c>
      <c r="BO30" s="15">
        <f>SUMIFS(Liste05[ListVerg],Liste05[Platz],Liste05[[#This Row],[Platz]])*(Liste05[[#This Row],[Mult]]=1)*ListenkreuzeOk</f>
        <v>0</v>
      </c>
      <c r="BP30" s="4">
        <f>Liste05[[#This Row],[Liste]]+Liste05[[#This Row],[Einzel]]</f>
        <v>0</v>
      </c>
      <c r="BR30" s="8"/>
      <c r="BS30" s="3"/>
      <c r="BT30" s="28"/>
      <c r="BU30" s="9" t="b">
        <f>AND((Liste06[[#This Row],[Spalte1]]=0),LEN(Liste06[[#This Row],[Spalte1]])=1)</f>
        <v>0</v>
      </c>
      <c r="BV30" s="9">
        <f t="array" ref="BV30">SUM((ROW(Liste06[Spalte2])&lt;=ROW())*(Liste06[Spalte2]=Liste06[[#This Row],[Spalte2]])*NOT(Liste06[IstGestrichen]))*NOT(Liste06[[#This Row],[IstGestrichen]])</f>
        <v>26</v>
      </c>
      <c r="BW30" s="9">
        <f t="array" ref="BW30">MIN(SUMIFS(Liste06[Spalte1],Liste06[Spalte2],Liste06[[#This Row],[Spalte2]]),3)</f>
        <v>0</v>
      </c>
      <c r="BX30" s="9">
        <f>(Liste06[[#This Row],[Mult]]&gt;Liste06[[#This Row],[GülzST2]])*1*NOT(Liste06[[#This Row],[IstGestrichen]])</f>
        <v>1</v>
      </c>
      <c r="BY30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0" s="9">
        <f>IF(AND(NOT(ISBLANK(BR$3)),Liste06[[#This Row],[ListPotKum]]&lt;=Reststimmen),Liste06[[#This Row],[ListPot]],0)</f>
        <v>0</v>
      </c>
      <c r="CA30" s="4">
        <f>MIN(SUMIFS(Liste06[Spalte1],Liste06[Spalte2],Liste06[[#This Row],[Spalte2]]),3)*(Liste06[[#This Row],[Mult]]=1)*StimmenzahlOk</f>
        <v>0</v>
      </c>
      <c r="CB30" s="4">
        <f>SUMIFS(Liste06[ListVerg],Liste06[Spalte2],Liste06[[#This Row],[Spalte2]])*(Liste06[[#This Row],[Mult]]=1)*ListenkreuzeOk</f>
        <v>0</v>
      </c>
      <c r="CC30" s="4">
        <f>Liste06[[#This Row],[Liste]]+Liste06[[#This Row],[Einzel]]</f>
        <v>0</v>
      </c>
      <c r="CE30" s="8"/>
      <c r="CF30" s="3">
        <v>726</v>
      </c>
      <c r="CG30" s="28" t="s">
        <v>500</v>
      </c>
      <c r="CH30" s="9" t="b">
        <f>AND((Liste07[[#This Row],[Wahl]]=0),LEN(Liste07[[#This Row],[Wahl]])=1)</f>
        <v>0</v>
      </c>
      <c r="CI30" s="9">
        <f t="array" ref="CI30">SUM((ROW(Liste07[Platz])&lt;=ROW())*(Liste07[Platz]=Liste07[[#This Row],[Platz]])*NOT(Liste07[IstGestrichen]))*NOT(Liste07[[#This Row],[IstGestrichen]])</f>
        <v>1</v>
      </c>
      <c r="CJ30" s="9">
        <f t="array" ref="CJ30">MIN(SUMIFS(Liste07[Wahl],Liste07[Platz],Liste07[[#This Row],[Platz]]),3)</f>
        <v>0</v>
      </c>
      <c r="CK30" s="9">
        <f>(Liste07[[#This Row],[Mult]]&gt;Liste07[[#This Row],[GülzST2]])*1*NOT(Liste07[[#This Row],[IstGestrichen]])</f>
        <v>1</v>
      </c>
      <c r="CL30" s="9">
        <f>SUMIFS(Liste07[ListPot],Liste07[Platz],Liste07[[#This Row],[Platz]],Liste07[Mult],"&lt;="&amp;Liste07[[#This Row],[Mult]])+SUMIFS(Liste07[ListPot],Liste07[Platz],"&lt;"&amp;Liste07[[#This Row],[Platz]])*Liste07[[#This Row],[ListPot]]</f>
        <v>26</v>
      </c>
      <c r="CM30" s="9">
        <f>IF(AND(NOT(ISBLANK(CE$3)),Liste07[[#This Row],[ListPotKum]]&lt;=Reststimmen),Liste07[[#This Row],[ListPot]],0)</f>
        <v>0</v>
      </c>
      <c r="CN30" s="4">
        <f>MIN(SUMIFS(Liste07[Wahl],Liste07[Platz],Liste07[[#This Row],[Platz]]),3)*(Liste07[[#This Row],[Mult]]=1)*StimmenzahlOk</f>
        <v>0</v>
      </c>
      <c r="CO30" s="4">
        <f>SUMIFS(Liste07[ListVerg],Liste07[Platz],Liste07[[#This Row],[Platz]])*(Liste07[[#This Row],[Mult]]=1)*ListenkreuzeOk</f>
        <v>0</v>
      </c>
      <c r="CP30" s="4">
        <f>Liste07[[#This Row],[Liste]]+Liste07[[#This Row],[Einzel]]</f>
        <v>0</v>
      </c>
      <c r="CR30" s="8"/>
      <c r="CS30" s="3">
        <v>826</v>
      </c>
      <c r="CT30" s="28" t="s">
        <v>551</v>
      </c>
      <c r="CU30" s="9" t="b">
        <f>AND((Liste08[[#This Row],[Wahl]]=0),LEN(Liste08[[#This Row],[Wahl]])=1)</f>
        <v>0</v>
      </c>
      <c r="CV30" s="9">
        <f t="array" ref="CV30">SUM((ROW(Liste08[Platz])&lt;=ROW())*(Liste08[Platz]=Liste08[[#This Row],[Platz]])*NOT(Liste08[IstGestrichen]))*NOT(Liste08[[#This Row],[IstGestrichen]])</f>
        <v>1</v>
      </c>
      <c r="CW30" s="9">
        <f t="array" ref="CW30">MIN(SUMIFS(Liste08[Wahl],Liste08[Platz],Liste08[[#This Row],[Platz]]),3)</f>
        <v>0</v>
      </c>
      <c r="CX30" s="9">
        <f>(Liste08[[#This Row],[Mult]]&gt;Liste08[[#This Row],[GülzST2]])*1*NOT(Liste08[[#This Row],[IstGestrichen]])</f>
        <v>1</v>
      </c>
      <c r="CY30" s="9">
        <f>SUMIFS(Liste08[ListPot],Liste08[Platz],Liste08[[#This Row],[Platz]],Liste08[Mult],"&lt;="&amp;Liste08[[#This Row],[Mult]])+SUMIFS(Liste08[ListPot],Liste08[Platz],"&lt;"&amp;Liste08[[#This Row],[Platz]])*Liste08[[#This Row],[ListPot]]</f>
        <v>26</v>
      </c>
      <c r="CZ30" s="9">
        <f>IF(AND(NOT(ISBLANK(CR$3)),Liste08[[#This Row],[ListPotKum]]&lt;=Reststimmen),Liste08[[#This Row],[ListPot]],0)</f>
        <v>0</v>
      </c>
      <c r="DA30" s="4">
        <f>MIN(SUMIFS(Liste08[Wahl],Liste08[Platz],Liste08[[#This Row],[Platz]]),3)*(Liste08[[#This Row],[Mult]]=1)*StimmenzahlOk</f>
        <v>0</v>
      </c>
      <c r="DB30" s="4">
        <f>SUMIFS(Liste08[ListVerg],Liste08[Platz],Liste08[[#This Row],[Platz]])*(Liste08[[#This Row],[Mult]]=1)*ListenkreuzeOk</f>
        <v>0</v>
      </c>
      <c r="DC30" s="4">
        <f>Liste08[[#This Row],[Liste]]+Liste08[[#This Row],[Einzel]]</f>
        <v>0</v>
      </c>
      <c r="DE30" s="8"/>
      <c r="DF30" s="3"/>
      <c r="DG30" s="28"/>
      <c r="DH30" s="9" t="b">
        <f>AND((Liste09[[#This Row],[Wahl]]=0),LEN(Liste09[[#This Row],[Wahl]])=1)</f>
        <v>0</v>
      </c>
      <c r="DI30" s="9">
        <f t="array" ref="DI30">SUM((ROW(Liste09[Platz])&lt;=ROW())*(Liste09[Platz]=Liste09[[#This Row],[Platz]])*NOT(Liste09[IstGestrichen]))*NOT(Liste09[[#This Row],[IstGestrichen]])</f>
        <v>26</v>
      </c>
      <c r="DJ30" s="9">
        <f t="array" ref="DJ30">MIN(SUMIFS(Liste09[Wahl],Liste09[Platz],Liste09[[#This Row],[Platz]]),3)</f>
        <v>0</v>
      </c>
      <c r="DK30" s="9">
        <f>(Liste09[[#This Row],[Mult]]&gt;Liste09[[#This Row],[GülzST2]])*1*NOT(Liste09[[#This Row],[IstGestrichen]])</f>
        <v>1</v>
      </c>
      <c r="DL30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0" s="9">
        <f>IF(AND(NOT(ISBLANK(DE$3)),Liste09[[#This Row],[ListPotKum]]&lt;=Reststimmen),Liste09[[#This Row],[ListPot]],0)</f>
        <v>0</v>
      </c>
      <c r="DN30" s="4">
        <f>MIN(SUMIFS(Liste09[Wahl],Liste09[Platz],Liste09[[#This Row],[Platz]]),3)*(Liste09[[#This Row],[Mult]]=1)*StimmenzahlOk</f>
        <v>0</v>
      </c>
      <c r="DO30" s="4">
        <f>SUMIFS(Liste09[ListVerg],Liste09[Platz],Liste09[[#This Row],[Platz]])*(Liste09[[#This Row],[Mult]]=1)*ListenkreuzeOk</f>
        <v>0</v>
      </c>
      <c r="DP30" s="4">
        <f>Liste09[[#This Row],[Liste]]+Liste09[[#This Row],[Einzel]]</f>
        <v>0</v>
      </c>
    </row>
    <row r="31" spans="1:120" ht="15.75" x14ac:dyDescent="0.25">
      <c r="A31" s="17"/>
      <c r="B31" s="17"/>
      <c r="E31" s="8"/>
      <c r="F31" s="3">
        <v>127</v>
      </c>
      <c r="G31" s="2" t="s">
        <v>299</v>
      </c>
      <c r="H31" s="9" t="b">
        <f>AND((Liste01[[#This Row],[Wahl]]=0),LEN(Liste01[[#This Row],[Wahl]])=1)</f>
        <v>0</v>
      </c>
      <c r="I31" s="9">
        <f t="array" ref="I31">SUM((ROW(Liste01[Platz])&lt;=ROW())*(Liste01[Platz]=Liste01[[#This Row],[Platz]])*NOT(Liste01[IstGestrichen]))*NOT(Liste01[[#This Row],[IstGestrichen]])</f>
        <v>1</v>
      </c>
      <c r="J31" s="9">
        <f t="array" ref="J31">MIN(SUMIFS(Liste01[Wahl],Liste01[Platz],Liste01[[#This Row],[Platz]]),3)</f>
        <v>0</v>
      </c>
      <c r="K31" s="9">
        <f>(Liste01[[#This Row],[Mult]]&gt;Liste01[[#This Row],[GülzST2]])*1*NOT(Liste01[[#This Row],[IstGestrichen]])</f>
        <v>1</v>
      </c>
      <c r="L31" s="9">
        <f>SUMIFS(Liste01[ListPot],Liste01[Platz],Liste01[[#This Row],[Platz]],Liste01[Mult],"&lt;="&amp;Liste01[[#This Row],[Mult]])+SUMIFS(Liste01[ListPot],Liste01[Platz],"&lt;"&amp;Liste01[[#This Row],[Platz]])*Liste01[[#This Row],[ListPot]]</f>
        <v>27</v>
      </c>
      <c r="M31" s="14">
        <f>IF(AND(NOT(ISBLANK(E$3)),Liste01[[#This Row],[ListPotKum]]&lt;=Reststimmen),Liste01[[#This Row],[ListPot]],0)</f>
        <v>0</v>
      </c>
      <c r="N31" s="4">
        <f>MIN(SUMIFS(Liste01[Wahl],Liste01[Platz],Liste01[[#This Row],[Platz]]),3)*(Liste01[[#This Row],[Mult]]=1)*StimmenzahlOk</f>
        <v>0</v>
      </c>
      <c r="O31" s="15">
        <f>SUMIFS(Liste01[ListVerg],Liste01[Platz],Liste01[[#This Row],[Platz]])*(Liste01[[#This Row],[Mult]]=1)*ListenkreuzeOk</f>
        <v>0</v>
      </c>
      <c r="P31" s="4">
        <f>Liste01[[#This Row],[Liste]]+Liste01[[#This Row],[Einzel]]</f>
        <v>0</v>
      </c>
      <c r="R31" s="8"/>
      <c r="S31" s="3">
        <v>227</v>
      </c>
      <c r="T31" s="28" t="s">
        <v>349</v>
      </c>
      <c r="U31" s="9" t="b">
        <f>AND((Liste02[[#This Row],[Wahl]]=0),LEN(Liste02[[#This Row],[Wahl]])=1)</f>
        <v>0</v>
      </c>
      <c r="V31" s="9">
        <f t="array" ref="V31">SUM((ROW(Liste02[Platz])&lt;=ROW())*(Liste02[Platz]=Liste02[[#This Row],[Platz]])*NOT(Liste02[IstGestrichen]))*NOT(Liste02[[#This Row],[IstGestrichen]])</f>
        <v>1</v>
      </c>
      <c r="W31" s="9">
        <f t="array" ref="W31">MIN(SUMIFS(Liste02[Wahl],Liste02[Platz],Liste02[[#This Row],[Platz]]),3)</f>
        <v>0</v>
      </c>
      <c r="X31" s="9">
        <f>(Liste02[[#This Row],[Mult]]&gt;Liste02[[#This Row],[GülzST2]])*1*NOT(Liste02[[#This Row],[IstGestrichen]])</f>
        <v>1</v>
      </c>
      <c r="Y31" s="9">
        <f>SUMIFS(Liste02[ListPot],Liste02[Platz],Liste02[[#This Row],[Platz]],Liste02[Mult],"&lt;="&amp;Liste02[[#This Row],[Mult]])+SUMIFS(Liste02[ListPot],Liste02[Platz],"&lt;"&amp;Liste02[[#This Row],[Platz]])*Liste02[[#This Row],[ListPot]]</f>
        <v>27</v>
      </c>
      <c r="Z31" s="14">
        <f>IF(AND(NOT(ISBLANK(R$3)),Liste02[[#This Row],[ListPotKum]]&lt;=Reststimmen),Liste02[[#This Row],[ListPot]],0)</f>
        <v>0</v>
      </c>
      <c r="AA31" s="4">
        <f>MIN(SUMIFS(Liste02[Wahl],Liste02[Platz],Liste02[[#This Row],[Platz]]),3)*(Liste02[[#This Row],[Mult]]=1)*StimmenzahlOk</f>
        <v>0</v>
      </c>
      <c r="AB31" s="15">
        <f>SUMIFS(Liste02[ListVerg],Liste02[Platz],Liste02[[#This Row],[Platz]])*(Liste02[[#This Row],[Mult]]=1)*ListenkreuzeOk</f>
        <v>0</v>
      </c>
      <c r="AC31" s="4">
        <f>Liste02[[#This Row],[Liste]]+Liste02[[#This Row],[Einzel]]</f>
        <v>0</v>
      </c>
      <c r="AE31" s="8"/>
      <c r="AF31" s="3">
        <v>327</v>
      </c>
      <c r="AG31" s="28" t="s">
        <v>399</v>
      </c>
      <c r="AH31" s="9" t="b">
        <f>AND((Liste03[[#This Row],[Wahl]]=0),LEN(Liste03[[#This Row],[Wahl]])=1)</f>
        <v>0</v>
      </c>
      <c r="AI31" s="9">
        <f t="array" ref="AI31">SUM((ROW(Liste03[Platz])&lt;=ROW())*(Liste03[Platz]=Liste03[[#This Row],[Platz]])*NOT(Liste03[IstGestrichen]))*NOT(Liste03[[#This Row],[IstGestrichen]])</f>
        <v>1</v>
      </c>
      <c r="AJ31" s="9">
        <f t="array" ref="AJ31">MIN(SUMIFS(Liste03[Wahl],Liste03[Platz],Liste03[[#This Row],[Platz]]),3)</f>
        <v>0</v>
      </c>
      <c r="AK31" s="9">
        <f>(Liste03[[#This Row],[Mult]]&gt;Liste03[[#This Row],[GülzST2]])*1*NOT(Liste03[[#This Row],[IstGestrichen]])</f>
        <v>1</v>
      </c>
      <c r="AL31" s="9">
        <f>SUMIFS(Liste03[ListPot],Liste03[Platz],Liste03[[#This Row],[Platz]],Liste03[Mult],"&lt;="&amp;Liste03[[#This Row],[Mult]])+SUMIFS(Liste03[ListPot],Liste03[Platz],"&lt;"&amp;Liste03[[#This Row],[Platz]])*Liste03[[#This Row],[ListPot]]</f>
        <v>27</v>
      </c>
      <c r="AM31" s="14">
        <f>IF(AND(NOT(ISBLANK(AE$3)),Liste03[[#This Row],[ListPotKum]]&lt;=Reststimmen),Liste03[[#This Row],[ListPot]],0)</f>
        <v>0</v>
      </c>
      <c r="AN31" s="4">
        <f>MIN(SUMIFS(Liste03[Wahl],Liste03[Platz],Liste03[[#This Row],[Platz]]),3)*(Liste03[[#This Row],[Mult]]=1)*StimmenzahlOk</f>
        <v>0</v>
      </c>
      <c r="AO31" s="15">
        <f>SUMIFS(Liste03[ListVerg],Liste03[Platz],Liste03[[#This Row],[Platz]])*(Liste03[[#This Row],[Mult]]=1)*ListenkreuzeOk</f>
        <v>0</v>
      </c>
      <c r="AP31" s="4">
        <f>Liste03[[#This Row],[Liste]]+Liste03[[#This Row],[Einzel]]</f>
        <v>0</v>
      </c>
      <c r="AR31" s="42"/>
      <c r="AS31" s="3"/>
      <c r="AT31" s="37"/>
      <c r="AU31" s="9" t="b">
        <f>AND((Liste04[[#This Row],[Wahl]]=0),LEN(Liste04[[#This Row],[Wahl]])=1)</f>
        <v>0</v>
      </c>
      <c r="AV31" s="9">
        <f t="array" ref="AV31">SUM((ROW(Liste04[Platz])&lt;=ROW())*(Liste04[Platz]=Liste04[[#This Row],[Platz]])*NOT(Liste04[IstGestrichen]))*NOT(Liste04[[#This Row],[IstGestrichen]])</f>
        <v>27</v>
      </c>
      <c r="AW31" s="9">
        <f t="array" ref="AW31">MIN(SUMIFS(Liste04[Wahl],Liste04[Platz],Liste04[[#This Row],[Platz]]),3)</f>
        <v>0</v>
      </c>
      <c r="AX31" s="9">
        <f>(Liste04[[#This Row],[Mult]]&gt;Liste04[[#This Row],[GülzST2]])*1*NOT(Liste04[[#This Row],[IstGestrichen]])</f>
        <v>1</v>
      </c>
      <c r="AY31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1" s="14">
        <f>IF(AND(NOT(ISBLANK(AR$3)),Liste04[[#This Row],[ListPotKum]]&lt;=Reststimmen),Liste04[[#This Row],[ListPot]],0)</f>
        <v>0</v>
      </c>
      <c r="BA31" s="4">
        <f>MIN(SUMIFS(Liste04[Wahl],Liste04[Platz],Liste04[[#This Row],[Platz]]),3)*(Liste04[[#This Row],[Mult]]=1)*StimmenzahlOk</f>
        <v>0</v>
      </c>
      <c r="BB31" s="15">
        <f>SUMIFS(Liste04[ListVerg],Liste04[Platz],Liste04[[#This Row],[Platz]])*(Liste04[[#This Row],[Mult]]=1)*ListenkreuzeOk</f>
        <v>0</v>
      </c>
      <c r="BC31" s="4">
        <f>Liste04[[#This Row],[Liste]]+Liste04[[#This Row],[Einzel]]</f>
        <v>0</v>
      </c>
      <c r="BE31" s="8"/>
      <c r="BF31" s="3">
        <v>527</v>
      </c>
      <c r="BG31" s="28" t="s">
        <v>451</v>
      </c>
      <c r="BH31" s="9" t="b">
        <f>AND((Liste05[[#This Row],[Wahl]]=0),LEN(Liste05[[#This Row],[Wahl]])=1)</f>
        <v>0</v>
      </c>
      <c r="BI31" s="9">
        <f t="array" ref="BI31">SUM((ROW(Liste05[Platz])&lt;=ROW())*(Liste05[Platz]=Liste05[[#This Row],[Platz]])*NOT(Liste05[IstGestrichen]))*NOT(Liste05[[#This Row],[IstGestrichen]])</f>
        <v>1</v>
      </c>
      <c r="BJ31" s="9">
        <f t="array" ref="BJ31">MIN(SUMIFS(Liste05[Wahl],Liste05[Platz],Liste05[[#This Row],[Platz]]),3)</f>
        <v>0</v>
      </c>
      <c r="BK31" s="9">
        <f>(Liste05[[#This Row],[Mult]]&gt;Liste05[[#This Row],[GülzST2]])*1*NOT(Liste05[[#This Row],[IstGestrichen]])</f>
        <v>1</v>
      </c>
      <c r="BL31" s="9">
        <f>SUMIFS(Liste05[ListPot],Liste05[Platz],Liste05[[#This Row],[Platz]],Liste05[Mult],"&lt;="&amp;Liste05[[#This Row],[Mult]])+SUMIFS(Liste05[ListPot],Liste05[Platz],"&lt;"&amp;Liste05[[#This Row],[Platz]])*Liste05[[#This Row],[ListPot]]</f>
        <v>27</v>
      </c>
      <c r="BM31" s="14">
        <f>IF(AND(NOT(ISBLANK(BE$3)),Liste05[[#This Row],[ListPotKum]]&lt;=Reststimmen),Liste05[[#This Row],[ListPot]],0)</f>
        <v>0</v>
      </c>
      <c r="BN31" s="4">
        <f>MIN(SUMIFS(Liste05[Wahl],Liste05[Platz],Liste05[[#This Row],[Platz]]),3)*(Liste05[[#This Row],[Mult]]=1)*StimmenzahlOk</f>
        <v>0</v>
      </c>
      <c r="BO31" s="15">
        <f>SUMIFS(Liste05[ListVerg],Liste05[Platz],Liste05[[#This Row],[Platz]])*(Liste05[[#This Row],[Mult]]=1)*ListenkreuzeOk</f>
        <v>0</v>
      </c>
      <c r="BP31" s="4">
        <f>Liste05[[#This Row],[Liste]]+Liste05[[#This Row],[Einzel]]</f>
        <v>0</v>
      </c>
      <c r="BR31" s="8"/>
      <c r="BS31" s="3"/>
      <c r="BT31" s="28"/>
      <c r="BU31" s="9" t="b">
        <f>AND((Liste06[[#This Row],[Spalte1]]=0),LEN(Liste06[[#This Row],[Spalte1]])=1)</f>
        <v>0</v>
      </c>
      <c r="BV31" s="9">
        <f t="array" ref="BV31">SUM((ROW(Liste06[Spalte2])&lt;=ROW())*(Liste06[Spalte2]=Liste06[[#This Row],[Spalte2]])*NOT(Liste06[IstGestrichen]))*NOT(Liste06[[#This Row],[IstGestrichen]])</f>
        <v>27</v>
      </c>
      <c r="BW31" s="9">
        <f t="array" ref="BW31">MIN(SUMIFS(Liste06[Spalte1],Liste06[Spalte2],Liste06[[#This Row],[Spalte2]]),3)</f>
        <v>0</v>
      </c>
      <c r="BX31" s="9">
        <f>(Liste06[[#This Row],[Mult]]&gt;Liste06[[#This Row],[GülzST2]])*1*NOT(Liste06[[#This Row],[IstGestrichen]])</f>
        <v>1</v>
      </c>
      <c r="BY31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1" s="14">
        <f>IF(AND(NOT(ISBLANK(BR$3)),Liste06[[#This Row],[ListPotKum]]&lt;=Reststimmen),Liste06[[#This Row],[ListPot]],0)</f>
        <v>0</v>
      </c>
      <c r="CA31" s="4">
        <f>MIN(SUMIFS(Liste06[Spalte1],Liste06[Spalte2],Liste06[[#This Row],[Spalte2]]),3)*(Liste06[[#This Row],[Mult]]=1)*StimmenzahlOk</f>
        <v>0</v>
      </c>
      <c r="CB31" s="15">
        <f>SUMIFS(Liste06[ListVerg],Liste06[Spalte2],Liste06[[#This Row],[Spalte2]])*(Liste06[[#This Row],[Mult]]=1)*ListenkreuzeOk</f>
        <v>0</v>
      </c>
      <c r="CC31" s="4">
        <f>Liste06[[#This Row],[Liste]]+Liste06[[#This Row],[Einzel]]</f>
        <v>0</v>
      </c>
      <c r="CE31" s="8"/>
      <c r="CF31" s="3">
        <v>727</v>
      </c>
      <c r="CG31" s="28" t="s">
        <v>501</v>
      </c>
      <c r="CH31" s="9" t="b">
        <f>AND((Liste07[[#This Row],[Wahl]]=0),LEN(Liste07[[#This Row],[Wahl]])=1)</f>
        <v>0</v>
      </c>
      <c r="CI31" s="9">
        <f t="array" ref="CI31">SUM((ROW(Liste07[Platz])&lt;=ROW())*(Liste07[Platz]=Liste07[[#This Row],[Platz]])*NOT(Liste07[IstGestrichen]))*NOT(Liste07[[#This Row],[IstGestrichen]])</f>
        <v>1</v>
      </c>
      <c r="CJ31" s="9">
        <f t="array" ref="CJ31">MIN(SUMIFS(Liste07[Wahl],Liste07[Platz],Liste07[[#This Row],[Platz]]),3)</f>
        <v>0</v>
      </c>
      <c r="CK31" s="9">
        <f>(Liste07[[#This Row],[Mult]]&gt;Liste07[[#This Row],[GülzST2]])*1*NOT(Liste07[[#This Row],[IstGestrichen]])</f>
        <v>1</v>
      </c>
      <c r="CL31" s="9">
        <f>SUMIFS(Liste07[ListPot],Liste07[Platz],Liste07[[#This Row],[Platz]],Liste07[Mult],"&lt;="&amp;Liste07[[#This Row],[Mult]])+SUMIFS(Liste07[ListPot],Liste07[Platz],"&lt;"&amp;Liste07[[#This Row],[Platz]])*Liste07[[#This Row],[ListPot]]</f>
        <v>27</v>
      </c>
      <c r="CM31" s="14">
        <f>IF(AND(NOT(ISBLANK(CE$3)),Liste07[[#This Row],[ListPotKum]]&lt;=Reststimmen),Liste07[[#This Row],[ListPot]],0)</f>
        <v>0</v>
      </c>
      <c r="CN31" s="4">
        <f>MIN(SUMIFS(Liste07[Wahl],Liste07[Platz],Liste07[[#This Row],[Platz]]),3)*(Liste07[[#This Row],[Mult]]=1)*StimmenzahlOk</f>
        <v>0</v>
      </c>
      <c r="CO31" s="15">
        <f>SUMIFS(Liste07[ListVerg],Liste07[Platz],Liste07[[#This Row],[Platz]])*(Liste07[[#This Row],[Mult]]=1)*ListenkreuzeOk</f>
        <v>0</v>
      </c>
      <c r="CP31" s="4">
        <f>Liste07[[#This Row],[Liste]]+Liste07[[#This Row],[Einzel]]</f>
        <v>0</v>
      </c>
      <c r="CR31" s="8"/>
      <c r="CS31" s="3">
        <v>827</v>
      </c>
      <c r="CT31" s="28" t="s">
        <v>552</v>
      </c>
      <c r="CU31" s="9" t="b">
        <f>AND((Liste08[[#This Row],[Wahl]]=0),LEN(Liste08[[#This Row],[Wahl]])=1)</f>
        <v>0</v>
      </c>
      <c r="CV31" s="9">
        <f t="array" ref="CV31">SUM((ROW(Liste08[Platz])&lt;=ROW())*(Liste08[Platz]=Liste08[[#This Row],[Platz]])*NOT(Liste08[IstGestrichen]))*NOT(Liste08[[#This Row],[IstGestrichen]])</f>
        <v>1</v>
      </c>
      <c r="CW31" s="9">
        <f t="array" ref="CW31">MIN(SUMIFS(Liste08[Wahl],Liste08[Platz],Liste08[[#This Row],[Platz]]),3)</f>
        <v>0</v>
      </c>
      <c r="CX31" s="9">
        <f>(Liste08[[#This Row],[Mult]]&gt;Liste08[[#This Row],[GülzST2]])*1*NOT(Liste08[[#This Row],[IstGestrichen]])</f>
        <v>1</v>
      </c>
      <c r="CY31" s="9">
        <f>SUMIFS(Liste08[ListPot],Liste08[Platz],Liste08[[#This Row],[Platz]],Liste08[Mult],"&lt;="&amp;Liste08[[#This Row],[Mult]])+SUMIFS(Liste08[ListPot],Liste08[Platz],"&lt;"&amp;Liste08[[#This Row],[Platz]])*Liste08[[#This Row],[ListPot]]</f>
        <v>27</v>
      </c>
      <c r="CZ31" s="14">
        <f>IF(AND(NOT(ISBLANK(CR$3)),Liste08[[#This Row],[ListPotKum]]&lt;=Reststimmen),Liste08[[#This Row],[ListPot]],0)</f>
        <v>0</v>
      </c>
      <c r="DA31" s="4">
        <f>MIN(SUMIFS(Liste08[Wahl],Liste08[Platz],Liste08[[#This Row],[Platz]]),3)*(Liste08[[#This Row],[Mult]]=1)*StimmenzahlOk</f>
        <v>0</v>
      </c>
      <c r="DB31" s="15">
        <f>SUMIFS(Liste08[ListVerg],Liste08[Platz],Liste08[[#This Row],[Platz]])*(Liste08[[#This Row],[Mult]]=1)*ListenkreuzeOk</f>
        <v>0</v>
      </c>
      <c r="DC31" s="4">
        <f>Liste08[[#This Row],[Liste]]+Liste08[[#This Row],[Einzel]]</f>
        <v>0</v>
      </c>
      <c r="DE31" s="8"/>
      <c r="DF31" s="3"/>
      <c r="DG31" s="28"/>
      <c r="DH31" s="9" t="b">
        <f>AND((Liste09[[#This Row],[Wahl]]=0),LEN(Liste09[[#This Row],[Wahl]])=1)</f>
        <v>0</v>
      </c>
      <c r="DI31" s="9">
        <f t="array" ref="DI31">SUM((ROW(Liste09[Platz])&lt;=ROW())*(Liste09[Platz]=Liste09[[#This Row],[Platz]])*NOT(Liste09[IstGestrichen]))*NOT(Liste09[[#This Row],[IstGestrichen]])</f>
        <v>27</v>
      </c>
      <c r="DJ31" s="9">
        <f t="array" ref="DJ31">MIN(SUMIFS(Liste09[Wahl],Liste09[Platz],Liste09[[#This Row],[Platz]]),3)</f>
        <v>0</v>
      </c>
      <c r="DK31" s="9">
        <f>(Liste09[[#This Row],[Mult]]&gt;Liste09[[#This Row],[GülzST2]])*1*NOT(Liste09[[#This Row],[IstGestrichen]])</f>
        <v>1</v>
      </c>
      <c r="DL31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1" s="14">
        <f>IF(AND(NOT(ISBLANK(DE$3)),Liste09[[#This Row],[ListPotKum]]&lt;=Reststimmen),Liste09[[#This Row],[ListPot]],0)</f>
        <v>0</v>
      </c>
      <c r="DN31" s="4">
        <f>MIN(SUMIFS(Liste09[Wahl],Liste09[Platz],Liste09[[#This Row],[Platz]]),3)*(Liste09[[#This Row],[Mult]]=1)*StimmenzahlOk</f>
        <v>0</v>
      </c>
      <c r="DO31" s="15">
        <f>SUMIFS(Liste09[ListVerg],Liste09[Platz],Liste09[[#This Row],[Platz]])*(Liste09[[#This Row],[Mult]]=1)*ListenkreuzeOk</f>
        <v>0</v>
      </c>
      <c r="DP31" s="4">
        <f>Liste09[[#This Row],[Liste]]+Liste09[[#This Row],[Einzel]]</f>
        <v>0</v>
      </c>
    </row>
    <row r="32" spans="1:120" ht="15.75" x14ac:dyDescent="0.25">
      <c r="A32" s="17"/>
      <c r="B32" s="17"/>
      <c r="E32" s="8"/>
      <c r="F32" s="3">
        <v>128</v>
      </c>
      <c r="G32" s="2" t="s">
        <v>300</v>
      </c>
      <c r="H32" s="9" t="b">
        <f>AND((Liste01[[#This Row],[Wahl]]=0),LEN(Liste01[[#This Row],[Wahl]])=1)</f>
        <v>0</v>
      </c>
      <c r="I32" s="9">
        <f t="array" ref="I32">SUM((ROW(Liste01[Platz])&lt;=ROW())*(Liste01[Platz]=Liste01[[#This Row],[Platz]])*NOT(Liste01[IstGestrichen]))*NOT(Liste01[[#This Row],[IstGestrichen]])</f>
        <v>1</v>
      </c>
      <c r="J32" s="9">
        <f t="array" ref="J32">MIN(SUMIFS(Liste01[Wahl],Liste01[Platz],Liste01[[#This Row],[Platz]]),3)</f>
        <v>0</v>
      </c>
      <c r="K32" s="9">
        <f>(Liste01[[#This Row],[Mult]]&gt;Liste01[[#This Row],[GülzST2]])*1*NOT(Liste01[[#This Row],[IstGestrichen]])</f>
        <v>1</v>
      </c>
      <c r="L32" s="9">
        <f>SUMIFS(Liste01[ListPot],Liste01[Platz],Liste01[[#This Row],[Platz]],Liste01[Mult],"&lt;="&amp;Liste01[[#This Row],[Mult]])+SUMIFS(Liste01[ListPot],Liste01[Platz],"&lt;"&amp;Liste01[[#This Row],[Platz]])*Liste01[[#This Row],[ListPot]]</f>
        <v>28</v>
      </c>
      <c r="M32" s="14">
        <f>IF(AND(NOT(ISBLANK(E$3)),Liste01[[#This Row],[ListPotKum]]&lt;=Reststimmen),Liste01[[#This Row],[ListPot]],0)</f>
        <v>0</v>
      </c>
      <c r="N32" s="4">
        <f>MIN(SUMIFS(Liste01[Wahl],Liste01[Platz],Liste01[[#This Row],[Platz]]),3)*(Liste01[[#This Row],[Mult]]=1)*StimmenzahlOk</f>
        <v>0</v>
      </c>
      <c r="O32" s="15">
        <f>SUMIFS(Liste01[ListVerg],Liste01[Platz],Liste01[[#This Row],[Platz]])*(Liste01[[#This Row],[Mult]]=1)*ListenkreuzeOk</f>
        <v>0</v>
      </c>
      <c r="P32" s="4">
        <f>Liste01[[#This Row],[Liste]]+Liste01[[#This Row],[Einzel]]</f>
        <v>0</v>
      </c>
      <c r="R32" s="8"/>
      <c r="S32" s="3">
        <v>228</v>
      </c>
      <c r="T32" s="28" t="s">
        <v>350</v>
      </c>
      <c r="U32" s="9" t="b">
        <f>AND((Liste02[[#This Row],[Wahl]]=0),LEN(Liste02[[#This Row],[Wahl]])=1)</f>
        <v>0</v>
      </c>
      <c r="V32" s="9">
        <f t="array" ref="V32">SUM((ROW(Liste02[Platz])&lt;=ROW())*(Liste02[Platz]=Liste02[[#This Row],[Platz]])*NOT(Liste02[IstGestrichen]))*NOT(Liste02[[#This Row],[IstGestrichen]])</f>
        <v>1</v>
      </c>
      <c r="W32" s="9">
        <f t="array" ref="W32">MIN(SUMIFS(Liste02[Wahl],Liste02[Platz],Liste02[[#This Row],[Platz]]),3)</f>
        <v>0</v>
      </c>
      <c r="X32" s="9">
        <f>(Liste02[[#This Row],[Mult]]&gt;Liste02[[#This Row],[GülzST2]])*1*NOT(Liste02[[#This Row],[IstGestrichen]])</f>
        <v>1</v>
      </c>
      <c r="Y32" s="9">
        <f>SUMIFS(Liste02[ListPot],Liste02[Platz],Liste02[[#This Row],[Platz]],Liste02[Mult],"&lt;="&amp;Liste02[[#This Row],[Mult]])+SUMIFS(Liste02[ListPot],Liste02[Platz],"&lt;"&amp;Liste02[[#This Row],[Platz]])*Liste02[[#This Row],[ListPot]]</f>
        <v>28</v>
      </c>
      <c r="Z32" s="14">
        <f>IF(AND(NOT(ISBLANK(R$3)),Liste02[[#This Row],[ListPotKum]]&lt;=Reststimmen),Liste02[[#This Row],[ListPot]],0)</f>
        <v>0</v>
      </c>
      <c r="AA32" s="4">
        <f>MIN(SUMIFS(Liste02[Wahl],Liste02[Platz],Liste02[[#This Row],[Platz]]),3)*(Liste02[[#This Row],[Mult]]=1)*StimmenzahlOk</f>
        <v>0</v>
      </c>
      <c r="AB32" s="15">
        <f>SUMIFS(Liste02[ListVerg],Liste02[Platz],Liste02[[#This Row],[Platz]])*(Liste02[[#This Row],[Mult]]=1)*ListenkreuzeOk</f>
        <v>0</v>
      </c>
      <c r="AC32" s="4">
        <f>Liste02[[#This Row],[Liste]]+Liste02[[#This Row],[Einzel]]</f>
        <v>0</v>
      </c>
      <c r="AE32" s="8"/>
      <c r="AF32" s="3">
        <v>328</v>
      </c>
      <c r="AG32" s="28" t="s">
        <v>400</v>
      </c>
      <c r="AH32" s="9" t="b">
        <f>AND((Liste03[[#This Row],[Wahl]]=0),LEN(Liste03[[#This Row],[Wahl]])=1)</f>
        <v>0</v>
      </c>
      <c r="AI32" s="9">
        <f t="array" ref="AI32">SUM((ROW(Liste03[Platz])&lt;=ROW())*(Liste03[Platz]=Liste03[[#This Row],[Platz]])*NOT(Liste03[IstGestrichen]))*NOT(Liste03[[#This Row],[IstGestrichen]])</f>
        <v>1</v>
      </c>
      <c r="AJ32" s="9">
        <f t="array" ref="AJ32">MIN(SUMIFS(Liste03[Wahl],Liste03[Platz],Liste03[[#This Row],[Platz]]),3)</f>
        <v>0</v>
      </c>
      <c r="AK32" s="9">
        <f>(Liste03[[#This Row],[Mult]]&gt;Liste03[[#This Row],[GülzST2]])*1*NOT(Liste03[[#This Row],[IstGestrichen]])</f>
        <v>1</v>
      </c>
      <c r="AL32" s="9">
        <f>SUMIFS(Liste03[ListPot],Liste03[Platz],Liste03[[#This Row],[Platz]],Liste03[Mult],"&lt;="&amp;Liste03[[#This Row],[Mult]])+SUMIFS(Liste03[ListPot],Liste03[Platz],"&lt;"&amp;Liste03[[#This Row],[Platz]])*Liste03[[#This Row],[ListPot]]</f>
        <v>28</v>
      </c>
      <c r="AM32" s="14">
        <f>IF(AND(NOT(ISBLANK(AE$3)),Liste03[[#This Row],[ListPotKum]]&lt;=Reststimmen),Liste03[[#This Row],[ListPot]],0)</f>
        <v>0</v>
      </c>
      <c r="AN32" s="4">
        <f>MIN(SUMIFS(Liste03[Wahl],Liste03[Platz],Liste03[[#This Row],[Platz]]),3)*(Liste03[[#This Row],[Mult]]=1)*StimmenzahlOk</f>
        <v>0</v>
      </c>
      <c r="AO32" s="15">
        <f>SUMIFS(Liste03[ListVerg],Liste03[Platz],Liste03[[#This Row],[Platz]])*(Liste03[[#This Row],[Mult]]=1)*ListenkreuzeOk</f>
        <v>0</v>
      </c>
      <c r="AP32" s="4">
        <f>Liste03[[#This Row],[Liste]]+Liste03[[#This Row],[Einzel]]</f>
        <v>0</v>
      </c>
      <c r="AR32" s="42"/>
      <c r="AS32" s="3"/>
      <c r="AT32" s="37"/>
      <c r="AU32" s="9" t="b">
        <f>AND((Liste04[[#This Row],[Wahl]]=0),LEN(Liste04[[#This Row],[Wahl]])=1)</f>
        <v>0</v>
      </c>
      <c r="AV32" s="9">
        <f t="array" ref="AV32">SUM((ROW(Liste04[Platz])&lt;=ROW())*(Liste04[Platz]=Liste04[[#This Row],[Platz]])*NOT(Liste04[IstGestrichen]))*NOT(Liste04[[#This Row],[IstGestrichen]])</f>
        <v>28</v>
      </c>
      <c r="AW32" s="9">
        <f t="array" ref="AW32">MIN(SUMIFS(Liste04[Wahl],Liste04[Platz],Liste04[[#This Row],[Platz]]),3)</f>
        <v>0</v>
      </c>
      <c r="AX32" s="9">
        <f>(Liste04[[#This Row],[Mult]]&gt;Liste04[[#This Row],[GülzST2]])*1*NOT(Liste04[[#This Row],[IstGestrichen]])</f>
        <v>1</v>
      </c>
      <c r="AY32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2" s="14">
        <f>IF(AND(NOT(ISBLANK(AR$3)),Liste04[[#This Row],[ListPotKum]]&lt;=Reststimmen),Liste04[[#This Row],[ListPot]],0)</f>
        <v>0</v>
      </c>
      <c r="BA32" s="4">
        <f>MIN(SUMIFS(Liste04[Wahl],Liste04[Platz],Liste04[[#This Row],[Platz]]),3)*(Liste04[[#This Row],[Mult]]=1)*StimmenzahlOk</f>
        <v>0</v>
      </c>
      <c r="BB32" s="15">
        <f>SUMIFS(Liste04[ListVerg],Liste04[Platz],Liste04[[#This Row],[Platz]])*(Liste04[[#This Row],[Mult]]=1)*ListenkreuzeOk</f>
        <v>0</v>
      </c>
      <c r="BC32" s="4">
        <f>Liste04[[#This Row],[Liste]]+Liste04[[#This Row],[Einzel]]</f>
        <v>0</v>
      </c>
      <c r="BE32" s="8"/>
      <c r="BF32" s="3">
        <v>528</v>
      </c>
      <c r="BG32" s="28" t="s">
        <v>452</v>
      </c>
      <c r="BH32" s="9" t="b">
        <f>AND((Liste05[[#This Row],[Wahl]]=0),LEN(Liste05[[#This Row],[Wahl]])=1)</f>
        <v>0</v>
      </c>
      <c r="BI32" s="9">
        <f t="array" ref="BI32">SUM((ROW(Liste05[Platz])&lt;=ROW())*(Liste05[Platz]=Liste05[[#This Row],[Platz]])*NOT(Liste05[IstGestrichen]))*NOT(Liste05[[#This Row],[IstGestrichen]])</f>
        <v>1</v>
      </c>
      <c r="BJ32" s="9">
        <f t="array" ref="BJ32">MIN(SUMIFS(Liste05[Wahl],Liste05[Platz],Liste05[[#This Row],[Platz]]),3)</f>
        <v>0</v>
      </c>
      <c r="BK32" s="9">
        <f>(Liste05[[#This Row],[Mult]]&gt;Liste05[[#This Row],[GülzST2]])*1*NOT(Liste05[[#This Row],[IstGestrichen]])</f>
        <v>1</v>
      </c>
      <c r="BL32" s="9">
        <f>SUMIFS(Liste05[ListPot],Liste05[Platz],Liste05[[#This Row],[Platz]],Liste05[Mult],"&lt;="&amp;Liste05[[#This Row],[Mult]])+SUMIFS(Liste05[ListPot],Liste05[Platz],"&lt;"&amp;Liste05[[#This Row],[Platz]])*Liste05[[#This Row],[ListPot]]</f>
        <v>28</v>
      </c>
      <c r="BM32" s="14">
        <f>IF(AND(NOT(ISBLANK(BE$3)),Liste05[[#This Row],[ListPotKum]]&lt;=Reststimmen),Liste05[[#This Row],[ListPot]],0)</f>
        <v>0</v>
      </c>
      <c r="BN32" s="4">
        <f>MIN(SUMIFS(Liste05[Wahl],Liste05[Platz],Liste05[[#This Row],[Platz]]),3)*(Liste05[[#This Row],[Mult]]=1)*StimmenzahlOk</f>
        <v>0</v>
      </c>
      <c r="BO32" s="15">
        <f>SUMIFS(Liste05[ListVerg],Liste05[Platz],Liste05[[#This Row],[Platz]])*(Liste05[[#This Row],[Mult]]=1)*ListenkreuzeOk</f>
        <v>0</v>
      </c>
      <c r="BP32" s="4">
        <f>Liste05[[#This Row],[Liste]]+Liste05[[#This Row],[Einzel]]</f>
        <v>0</v>
      </c>
      <c r="BR32" s="8"/>
      <c r="BS32" s="3"/>
      <c r="BT32" s="37"/>
      <c r="BU32" t="b">
        <f>AND((Liste06[[#This Row],[Spalte1]]=0),LEN(Liste06[[#This Row],[Spalte1]])=1)</f>
        <v>0</v>
      </c>
      <c r="BV32">
        <f t="array" ref="BV32">SUM((ROW(Liste06[Spalte2])&lt;=ROW())*(Liste06[Spalte2]=Liste06[[#This Row],[Spalte2]])*NOT(Liste06[IstGestrichen]))*NOT(Liste06[[#This Row],[IstGestrichen]])</f>
        <v>28</v>
      </c>
      <c r="BW32">
        <f t="array" ref="BW32">MIN(SUMIFS(Liste06[Spalte1],Liste06[Spalte2],Liste06[[#This Row],[Spalte2]]),3)</f>
        <v>0</v>
      </c>
      <c r="BX32">
        <f>(Liste06[[#This Row],[Mult]]&gt;Liste06[[#This Row],[GülzST2]])*1*NOT(Liste06[[#This Row],[IstGestrichen]])</f>
        <v>1</v>
      </c>
      <c r="BY32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2">
        <f>IF(AND(NOT(ISBLANK(BR$3)),Liste06[[#This Row],[ListPotKum]]&lt;=Reststimmen),Liste06[[#This Row],[ListPot]],0)</f>
        <v>0</v>
      </c>
      <c r="CA32" s="4">
        <f>MIN(SUMIFS(Liste06[Spalte1],Liste06[Spalte2],Liste06[[#This Row],[Spalte2]]),3)*(Liste06[[#This Row],[Mult]]=1)*StimmenzahlOk</f>
        <v>0</v>
      </c>
      <c r="CB32" s="4">
        <f>SUMIFS(Liste06[ListVerg],Liste06[Spalte2],Liste06[[#This Row],[Spalte2]])*(Liste06[[#This Row],[Mult]]=1)*ListenkreuzeOk</f>
        <v>0</v>
      </c>
      <c r="CC32" s="4">
        <f>Liste06[[#This Row],[Liste]]+Liste06[[#This Row],[Einzel]]</f>
        <v>0</v>
      </c>
      <c r="CE32" s="8"/>
      <c r="CF32" s="3">
        <v>728</v>
      </c>
      <c r="CG32" s="28" t="s">
        <v>502</v>
      </c>
      <c r="CH32" t="b">
        <f>AND((Liste07[[#This Row],[Wahl]]=0),LEN(Liste07[[#This Row],[Wahl]])=1)</f>
        <v>0</v>
      </c>
      <c r="CI32">
        <f t="array" ref="CI32">SUM((ROW(Liste07[Platz])&lt;=ROW())*(Liste07[Platz]=Liste07[[#This Row],[Platz]])*NOT(Liste07[IstGestrichen]))*NOT(Liste07[[#This Row],[IstGestrichen]])</f>
        <v>1</v>
      </c>
      <c r="CJ32">
        <f t="array" ref="CJ32">MIN(SUMIFS(Liste07[Wahl],Liste07[Platz],Liste07[[#This Row],[Platz]]),3)</f>
        <v>0</v>
      </c>
      <c r="CK32">
        <f>(Liste07[[#This Row],[Mult]]&gt;Liste07[[#This Row],[GülzST2]])*1*NOT(Liste07[[#This Row],[IstGestrichen]])</f>
        <v>1</v>
      </c>
      <c r="CL32">
        <f>SUMIFS(Liste07[ListPot],Liste07[Platz],Liste07[[#This Row],[Platz]],Liste07[Mult],"&lt;="&amp;Liste07[[#This Row],[Mult]])+SUMIFS(Liste07[ListPot],Liste07[Platz],"&lt;"&amp;Liste07[[#This Row],[Platz]])*Liste07[[#This Row],[ListPot]]</f>
        <v>28</v>
      </c>
      <c r="CM32">
        <f>IF(AND(NOT(ISBLANK(CE$3)),Liste07[[#This Row],[ListPotKum]]&lt;=Reststimmen),Liste07[[#This Row],[ListPot]],0)</f>
        <v>0</v>
      </c>
      <c r="CN32" s="4">
        <f>MIN(SUMIFS(Liste07[Wahl],Liste07[Platz],Liste07[[#This Row],[Platz]]),3)*(Liste07[[#This Row],[Mult]]=1)*StimmenzahlOk</f>
        <v>0</v>
      </c>
      <c r="CO32" s="4">
        <f>SUMIFS(Liste07[ListVerg],Liste07[Platz],Liste07[[#This Row],[Platz]])*(Liste07[[#This Row],[Mult]]=1)*ListenkreuzeOk</f>
        <v>0</v>
      </c>
      <c r="CP32" s="4">
        <f>Liste07[[#This Row],[Liste]]+Liste07[[#This Row],[Einzel]]</f>
        <v>0</v>
      </c>
      <c r="CR32" s="8"/>
      <c r="CS32" s="3">
        <v>828</v>
      </c>
      <c r="CT32" s="28" t="s">
        <v>553</v>
      </c>
      <c r="CU32" t="b">
        <f>AND((Liste08[[#This Row],[Wahl]]=0),LEN(Liste08[[#This Row],[Wahl]])=1)</f>
        <v>0</v>
      </c>
      <c r="CV32">
        <f t="array" ref="CV32">SUM((ROW(Liste08[Platz])&lt;=ROW())*(Liste08[Platz]=Liste08[[#This Row],[Platz]])*NOT(Liste08[IstGestrichen]))*NOT(Liste08[[#This Row],[IstGestrichen]])</f>
        <v>1</v>
      </c>
      <c r="CW32">
        <f t="array" ref="CW32">MIN(SUMIFS(Liste08[Wahl],Liste08[Platz],Liste08[[#This Row],[Platz]]),3)</f>
        <v>0</v>
      </c>
      <c r="CX32">
        <f>(Liste08[[#This Row],[Mult]]&gt;Liste08[[#This Row],[GülzST2]])*1*NOT(Liste08[[#This Row],[IstGestrichen]])</f>
        <v>1</v>
      </c>
      <c r="CY32">
        <f>SUMIFS(Liste08[ListPot],Liste08[Platz],Liste08[[#This Row],[Platz]],Liste08[Mult],"&lt;="&amp;Liste08[[#This Row],[Mult]])+SUMIFS(Liste08[ListPot],Liste08[Platz],"&lt;"&amp;Liste08[[#This Row],[Platz]])*Liste08[[#This Row],[ListPot]]</f>
        <v>28</v>
      </c>
      <c r="CZ32">
        <f>IF(AND(NOT(ISBLANK(CR$3)),Liste08[[#This Row],[ListPotKum]]&lt;=Reststimmen),Liste08[[#This Row],[ListPot]],0)</f>
        <v>0</v>
      </c>
      <c r="DA32" s="4">
        <f>MIN(SUMIFS(Liste08[Wahl],Liste08[Platz],Liste08[[#This Row],[Platz]]),3)*(Liste08[[#This Row],[Mult]]=1)*StimmenzahlOk</f>
        <v>0</v>
      </c>
      <c r="DB32" s="4">
        <f>SUMIFS(Liste08[ListVerg],Liste08[Platz],Liste08[[#This Row],[Platz]])*(Liste08[[#This Row],[Mult]]=1)*ListenkreuzeOk</f>
        <v>0</v>
      </c>
      <c r="DC32" s="4">
        <f>Liste08[[#This Row],[Liste]]+Liste08[[#This Row],[Einzel]]</f>
        <v>0</v>
      </c>
      <c r="DE32" s="8"/>
      <c r="DF32" s="3"/>
      <c r="DG32" s="28"/>
      <c r="DH32" t="b">
        <f>AND((Liste09[[#This Row],[Wahl]]=0),LEN(Liste09[[#This Row],[Wahl]])=1)</f>
        <v>0</v>
      </c>
      <c r="DI32">
        <f t="array" ref="DI32">SUM((ROW(Liste09[Platz])&lt;=ROW())*(Liste09[Platz]=Liste09[[#This Row],[Platz]])*NOT(Liste09[IstGestrichen]))*NOT(Liste09[[#This Row],[IstGestrichen]])</f>
        <v>28</v>
      </c>
      <c r="DJ32">
        <f t="array" ref="DJ32">MIN(SUMIFS(Liste09[Wahl],Liste09[Platz],Liste09[[#This Row],[Platz]]),3)</f>
        <v>0</v>
      </c>
      <c r="DK32">
        <f>(Liste09[[#This Row],[Mult]]&gt;Liste09[[#This Row],[GülzST2]])*1*NOT(Liste09[[#This Row],[IstGestrichen]])</f>
        <v>1</v>
      </c>
      <c r="DL32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2">
        <f>IF(AND(NOT(ISBLANK(DE$3)),Liste09[[#This Row],[ListPotKum]]&lt;=Reststimmen),Liste09[[#This Row],[ListPot]],0)</f>
        <v>0</v>
      </c>
      <c r="DN32" s="4">
        <f>MIN(SUMIFS(Liste09[Wahl],Liste09[Platz],Liste09[[#This Row],[Platz]]),3)*(Liste09[[#This Row],[Mult]]=1)*StimmenzahlOk</f>
        <v>0</v>
      </c>
      <c r="DO32" s="4">
        <f>SUMIFS(Liste09[ListVerg],Liste09[Platz],Liste09[[#This Row],[Platz]])*(Liste09[[#This Row],[Mult]]=1)*ListenkreuzeOk</f>
        <v>0</v>
      </c>
      <c r="DP32" s="4">
        <f>Liste09[[#This Row],[Liste]]+Liste09[[#This Row],[Einzel]]</f>
        <v>0</v>
      </c>
    </row>
    <row r="33" spans="1:120" ht="15.75" x14ac:dyDescent="0.25">
      <c r="A33" s="13" t="s">
        <v>12</v>
      </c>
      <c r="B33" s="21">
        <v>50</v>
      </c>
      <c r="E33" s="42"/>
      <c r="F33" s="3">
        <v>129</v>
      </c>
      <c r="G33" s="2" t="s">
        <v>301</v>
      </c>
      <c r="H33" s="9" t="b">
        <f>AND((Liste01[[#This Row],[Wahl]]=0),LEN(Liste01[[#This Row],[Wahl]])=1)</f>
        <v>0</v>
      </c>
      <c r="I33" s="9">
        <f t="array" ref="I33">SUM((ROW(Liste01[Platz])&lt;=ROW())*(Liste01[Platz]=Liste01[[#This Row],[Platz]])*NOT(Liste01[IstGestrichen]))*NOT(Liste01[[#This Row],[IstGestrichen]])</f>
        <v>1</v>
      </c>
      <c r="J33" s="9">
        <f t="array" ref="J33">MIN(SUMIFS(Liste01[Wahl],Liste01[Platz],Liste01[[#This Row],[Platz]]),3)</f>
        <v>0</v>
      </c>
      <c r="K33" s="9">
        <f>(Liste01[[#This Row],[Mult]]&gt;Liste01[[#This Row],[GülzST2]])*1*NOT(Liste01[[#This Row],[IstGestrichen]])</f>
        <v>1</v>
      </c>
      <c r="L33" s="9">
        <f>SUMIFS(Liste01[ListPot],Liste01[Platz],Liste01[[#This Row],[Platz]],Liste01[Mult],"&lt;="&amp;Liste01[[#This Row],[Mult]])+SUMIFS(Liste01[ListPot],Liste01[Platz],"&lt;"&amp;Liste01[[#This Row],[Platz]])*Liste01[[#This Row],[ListPot]]</f>
        <v>29</v>
      </c>
      <c r="M33" s="14">
        <f>IF(AND(NOT(ISBLANK(E$3)),Liste01[[#This Row],[ListPotKum]]&lt;=Reststimmen),Liste01[[#This Row],[ListPot]],0)</f>
        <v>0</v>
      </c>
      <c r="N33" s="4">
        <f>MIN(SUMIFS(Liste01[Wahl],Liste01[Platz],Liste01[[#This Row],[Platz]]),3)*(Liste01[[#This Row],[Mult]]=1)*StimmenzahlOk</f>
        <v>0</v>
      </c>
      <c r="O33" s="15">
        <f>SUMIFS(Liste01[ListVerg],Liste01[Platz],Liste01[[#This Row],[Platz]])*(Liste01[[#This Row],[Mult]]=1)*ListenkreuzeOk</f>
        <v>0</v>
      </c>
      <c r="P33" s="4">
        <f>Liste01[[#This Row],[Liste]]+Liste01[[#This Row],[Einzel]]</f>
        <v>0</v>
      </c>
      <c r="R33" s="8"/>
      <c r="S33" s="3">
        <v>229</v>
      </c>
      <c r="T33" s="28" t="s">
        <v>351</v>
      </c>
      <c r="U33" s="9" t="b">
        <f>AND((Liste02[[#This Row],[Wahl]]=0),LEN(Liste02[[#This Row],[Wahl]])=1)</f>
        <v>0</v>
      </c>
      <c r="V33" s="9">
        <f t="array" ref="V33">SUM((ROW(Liste02[Platz])&lt;=ROW())*(Liste02[Platz]=Liste02[[#This Row],[Platz]])*NOT(Liste02[IstGestrichen]))*NOT(Liste02[[#This Row],[IstGestrichen]])</f>
        <v>1</v>
      </c>
      <c r="W33" s="9">
        <f t="array" ref="W33">MIN(SUMIFS(Liste02[Wahl],Liste02[Platz],Liste02[[#This Row],[Platz]]),3)</f>
        <v>0</v>
      </c>
      <c r="X33" s="9">
        <f>(Liste02[[#This Row],[Mult]]&gt;Liste02[[#This Row],[GülzST2]])*1*NOT(Liste02[[#This Row],[IstGestrichen]])</f>
        <v>1</v>
      </c>
      <c r="Y33" s="9">
        <f>SUMIFS(Liste02[ListPot],Liste02[Platz],Liste02[[#This Row],[Platz]],Liste02[Mult],"&lt;="&amp;Liste02[[#This Row],[Mult]])+SUMIFS(Liste02[ListPot],Liste02[Platz],"&lt;"&amp;Liste02[[#This Row],[Platz]])*Liste02[[#This Row],[ListPot]]</f>
        <v>29</v>
      </c>
      <c r="Z33" s="14">
        <f>IF(AND(NOT(ISBLANK(R$3)),Liste02[[#This Row],[ListPotKum]]&lt;=Reststimmen),Liste02[[#This Row],[ListPot]],0)</f>
        <v>0</v>
      </c>
      <c r="AA33" s="4">
        <f>MIN(SUMIFS(Liste02[Wahl],Liste02[Platz],Liste02[[#This Row],[Platz]]),3)*(Liste02[[#This Row],[Mult]]=1)*StimmenzahlOk</f>
        <v>0</v>
      </c>
      <c r="AB33" s="15">
        <f>SUMIFS(Liste02[ListVerg],Liste02[Platz],Liste02[[#This Row],[Platz]])*(Liste02[[#This Row],[Mult]]=1)*ListenkreuzeOk</f>
        <v>0</v>
      </c>
      <c r="AC33" s="4">
        <f>Liste02[[#This Row],[Liste]]+Liste02[[#This Row],[Einzel]]</f>
        <v>0</v>
      </c>
      <c r="AE33" s="8"/>
      <c r="AF33" s="3">
        <v>329</v>
      </c>
      <c r="AG33" s="28" t="s">
        <v>401</v>
      </c>
      <c r="AH33" s="9" t="b">
        <f>AND((Liste03[[#This Row],[Wahl]]=0),LEN(Liste03[[#This Row],[Wahl]])=1)</f>
        <v>0</v>
      </c>
      <c r="AI33" s="9">
        <f t="array" ref="AI33">SUM((ROW(Liste03[Platz])&lt;=ROW())*(Liste03[Platz]=Liste03[[#This Row],[Platz]])*NOT(Liste03[IstGestrichen]))*NOT(Liste03[[#This Row],[IstGestrichen]])</f>
        <v>1</v>
      </c>
      <c r="AJ33" s="9">
        <f t="array" ref="AJ33">MIN(SUMIFS(Liste03[Wahl],Liste03[Platz],Liste03[[#This Row],[Platz]]),3)</f>
        <v>0</v>
      </c>
      <c r="AK33" s="9">
        <f>(Liste03[[#This Row],[Mult]]&gt;Liste03[[#This Row],[GülzST2]])*1*NOT(Liste03[[#This Row],[IstGestrichen]])</f>
        <v>1</v>
      </c>
      <c r="AL33" s="9">
        <f>SUMIFS(Liste03[ListPot],Liste03[Platz],Liste03[[#This Row],[Platz]],Liste03[Mult],"&lt;="&amp;Liste03[[#This Row],[Mult]])+SUMIFS(Liste03[ListPot],Liste03[Platz],"&lt;"&amp;Liste03[[#This Row],[Platz]])*Liste03[[#This Row],[ListPot]]</f>
        <v>29</v>
      </c>
      <c r="AM33" s="14">
        <f>IF(AND(NOT(ISBLANK(AE$3)),Liste03[[#This Row],[ListPotKum]]&lt;=Reststimmen),Liste03[[#This Row],[ListPot]],0)</f>
        <v>0</v>
      </c>
      <c r="AN33" s="4">
        <f>MIN(SUMIFS(Liste03[Wahl],Liste03[Platz],Liste03[[#This Row],[Platz]]),3)*(Liste03[[#This Row],[Mult]]=1)*StimmenzahlOk</f>
        <v>0</v>
      </c>
      <c r="AO33" s="15">
        <f>SUMIFS(Liste03[ListVerg],Liste03[Platz],Liste03[[#This Row],[Platz]])*(Liste03[[#This Row],[Mult]]=1)*ListenkreuzeOk</f>
        <v>0</v>
      </c>
      <c r="AP33" s="4">
        <f>Liste03[[#This Row],[Liste]]+Liste03[[#This Row],[Einzel]]</f>
        <v>0</v>
      </c>
      <c r="AR33" s="42"/>
      <c r="AS33" s="3"/>
      <c r="AT33" s="37"/>
      <c r="AU33" s="9" t="b">
        <f>AND((Liste04[[#This Row],[Wahl]]=0),LEN(Liste04[[#This Row],[Wahl]])=1)</f>
        <v>0</v>
      </c>
      <c r="AV33" s="9">
        <f t="array" ref="AV33">SUM((ROW(Liste04[Platz])&lt;=ROW())*(Liste04[Platz]=Liste04[[#This Row],[Platz]])*NOT(Liste04[IstGestrichen]))*NOT(Liste04[[#This Row],[IstGestrichen]])</f>
        <v>29</v>
      </c>
      <c r="AW33" s="9">
        <f t="array" ref="AW33">MIN(SUMIFS(Liste04[Wahl],Liste04[Platz],Liste04[[#This Row],[Platz]]),3)</f>
        <v>0</v>
      </c>
      <c r="AX33" s="9">
        <f>(Liste04[[#This Row],[Mult]]&gt;Liste04[[#This Row],[GülzST2]])*1*NOT(Liste04[[#This Row],[IstGestrichen]])</f>
        <v>1</v>
      </c>
      <c r="AY33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3" s="14">
        <f>IF(AND(NOT(ISBLANK(AR$3)),Liste04[[#This Row],[ListPotKum]]&lt;=Reststimmen),Liste04[[#This Row],[ListPot]],0)</f>
        <v>0</v>
      </c>
      <c r="BA33" s="4">
        <f>MIN(SUMIFS(Liste04[Wahl],Liste04[Platz],Liste04[[#This Row],[Platz]]),3)*(Liste04[[#This Row],[Mult]]=1)*StimmenzahlOk</f>
        <v>0</v>
      </c>
      <c r="BB33" s="15">
        <f>SUMIFS(Liste04[ListVerg],Liste04[Platz],Liste04[[#This Row],[Platz]])*(Liste04[[#This Row],[Mult]]=1)*ListenkreuzeOk</f>
        <v>0</v>
      </c>
      <c r="BC33" s="4">
        <f>Liste04[[#This Row],[Liste]]+Liste04[[#This Row],[Einzel]]</f>
        <v>0</v>
      </c>
      <c r="BE33" s="8"/>
      <c r="BF33" s="3">
        <v>529</v>
      </c>
      <c r="BG33" s="28" t="s">
        <v>453</v>
      </c>
      <c r="BH33" s="9" t="b">
        <f>AND((Liste05[[#This Row],[Wahl]]=0),LEN(Liste05[[#This Row],[Wahl]])=1)</f>
        <v>0</v>
      </c>
      <c r="BI33" s="9">
        <f t="array" ref="BI33">SUM((ROW(Liste05[Platz])&lt;=ROW())*(Liste05[Platz]=Liste05[[#This Row],[Platz]])*NOT(Liste05[IstGestrichen]))*NOT(Liste05[[#This Row],[IstGestrichen]])</f>
        <v>1</v>
      </c>
      <c r="BJ33" s="9">
        <f t="array" ref="BJ33">MIN(SUMIFS(Liste05[Wahl],Liste05[Platz],Liste05[[#This Row],[Platz]]),3)</f>
        <v>0</v>
      </c>
      <c r="BK33" s="9">
        <f>(Liste05[[#This Row],[Mult]]&gt;Liste05[[#This Row],[GülzST2]])*1*NOT(Liste05[[#This Row],[IstGestrichen]])</f>
        <v>1</v>
      </c>
      <c r="BL33" s="9">
        <f>SUMIFS(Liste05[ListPot],Liste05[Platz],Liste05[[#This Row],[Platz]],Liste05[Mult],"&lt;="&amp;Liste05[[#This Row],[Mult]])+SUMIFS(Liste05[ListPot],Liste05[Platz],"&lt;"&amp;Liste05[[#This Row],[Platz]])*Liste05[[#This Row],[ListPot]]</f>
        <v>29</v>
      </c>
      <c r="BM33" s="14">
        <f>IF(AND(NOT(ISBLANK(BE$3)),Liste05[[#This Row],[ListPotKum]]&lt;=Reststimmen),Liste05[[#This Row],[ListPot]],0)</f>
        <v>0</v>
      </c>
      <c r="BN33" s="4">
        <f>MIN(SUMIFS(Liste05[Wahl],Liste05[Platz],Liste05[[#This Row],[Platz]]),3)*(Liste05[[#This Row],[Mult]]=1)*StimmenzahlOk</f>
        <v>0</v>
      </c>
      <c r="BO33" s="15">
        <f>SUMIFS(Liste05[ListVerg],Liste05[Platz],Liste05[[#This Row],[Platz]])*(Liste05[[#This Row],[Mult]]=1)*ListenkreuzeOk</f>
        <v>0</v>
      </c>
      <c r="BP33" s="4">
        <f>Liste05[[#This Row],[Liste]]+Liste05[[#This Row],[Einzel]]</f>
        <v>0</v>
      </c>
      <c r="BR33" s="8"/>
      <c r="BS33" s="3"/>
      <c r="BT33" s="28"/>
      <c r="BU33" s="9" t="b">
        <f>AND((Liste06[[#This Row],[Spalte1]]=0),LEN(Liste06[[#This Row],[Spalte1]])=1)</f>
        <v>0</v>
      </c>
      <c r="BV33" s="9">
        <f t="array" ref="BV33">SUM((ROW(Liste06[Spalte2])&lt;=ROW())*(Liste06[Spalte2]=Liste06[[#This Row],[Spalte2]])*NOT(Liste06[IstGestrichen]))*NOT(Liste06[[#This Row],[IstGestrichen]])</f>
        <v>29</v>
      </c>
      <c r="BW33" s="9">
        <f t="array" ref="BW33">MIN(SUMIFS(Liste06[Spalte1],Liste06[Spalte2],Liste06[[#This Row],[Spalte2]]),3)</f>
        <v>0</v>
      </c>
      <c r="BX33" s="9">
        <f>(Liste06[[#This Row],[Mult]]&gt;Liste06[[#This Row],[GülzST2]])*1*NOT(Liste06[[#This Row],[IstGestrichen]])</f>
        <v>1</v>
      </c>
      <c r="BY33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3" s="9">
        <f>IF(AND(NOT(ISBLANK(BR$3)),Liste06[[#This Row],[ListPotKum]]&lt;=Reststimmen),Liste06[[#This Row],[ListPot]],0)</f>
        <v>0</v>
      </c>
      <c r="CA33" s="4">
        <f>MIN(SUMIFS(Liste06[Spalte1],Liste06[Spalte2],Liste06[[#This Row],[Spalte2]]),3)*(Liste06[[#This Row],[Mult]]=1)*StimmenzahlOk</f>
        <v>0</v>
      </c>
      <c r="CB33" s="4">
        <f>SUMIFS(Liste06[ListVerg],Liste06[Spalte2],Liste06[[#This Row],[Spalte2]])*(Liste06[[#This Row],[Mult]]=1)*ListenkreuzeOk</f>
        <v>0</v>
      </c>
      <c r="CC33" s="4">
        <f>Liste06[[#This Row],[Liste]]+Liste06[[#This Row],[Einzel]]</f>
        <v>0</v>
      </c>
      <c r="CE33" s="8"/>
      <c r="CF33" s="3">
        <v>729</v>
      </c>
      <c r="CG33" s="28" t="s">
        <v>503</v>
      </c>
      <c r="CH33" s="9" t="b">
        <f>AND((Liste07[[#This Row],[Wahl]]=0),LEN(Liste07[[#This Row],[Wahl]])=1)</f>
        <v>0</v>
      </c>
      <c r="CI33" s="9">
        <f t="array" ref="CI33">SUM((ROW(Liste07[Platz])&lt;=ROW())*(Liste07[Platz]=Liste07[[#This Row],[Platz]])*NOT(Liste07[IstGestrichen]))*NOT(Liste07[[#This Row],[IstGestrichen]])</f>
        <v>1</v>
      </c>
      <c r="CJ33" s="9">
        <f t="array" ref="CJ33">MIN(SUMIFS(Liste07[Wahl],Liste07[Platz],Liste07[[#This Row],[Platz]]),3)</f>
        <v>0</v>
      </c>
      <c r="CK33" s="9">
        <f>(Liste07[[#This Row],[Mult]]&gt;Liste07[[#This Row],[GülzST2]])*1*NOT(Liste07[[#This Row],[IstGestrichen]])</f>
        <v>1</v>
      </c>
      <c r="CL33" s="9">
        <f>SUMIFS(Liste07[ListPot],Liste07[Platz],Liste07[[#This Row],[Platz]],Liste07[Mult],"&lt;="&amp;Liste07[[#This Row],[Mult]])+SUMIFS(Liste07[ListPot],Liste07[Platz],"&lt;"&amp;Liste07[[#This Row],[Platz]])*Liste07[[#This Row],[ListPot]]</f>
        <v>29</v>
      </c>
      <c r="CM33" s="9">
        <f>IF(AND(NOT(ISBLANK(CE$3)),Liste07[[#This Row],[ListPotKum]]&lt;=Reststimmen),Liste07[[#This Row],[ListPot]],0)</f>
        <v>0</v>
      </c>
      <c r="CN33" s="4">
        <f>MIN(SUMIFS(Liste07[Wahl],Liste07[Platz],Liste07[[#This Row],[Platz]]),3)*(Liste07[[#This Row],[Mult]]=1)*StimmenzahlOk</f>
        <v>0</v>
      </c>
      <c r="CO33" s="4">
        <f>SUMIFS(Liste07[ListVerg],Liste07[Platz],Liste07[[#This Row],[Platz]])*(Liste07[[#This Row],[Mult]]=1)*ListenkreuzeOk</f>
        <v>0</v>
      </c>
      <c r="CP33" s="4">
        <f>Liste07[[#This Row],[Liste]]+Liste07[[#This Row],[Einzel]]</f>
        <v>0</v>
      </c>
      <c r="CR33" s="8"/>
      <c r="CS33" s="3">
        <v>829</v>
      </c>
      <c r="CT33" s="28" t="s">
        <v>554</v>
      </c>
      <c r="CU33" s="9" t="b">
        <f>AND((Liste08[[#This Row],[Wahl]]=0),LEN(Liste08[[#This Row],[Wahl]])=1)</f>
        <v>0</v>
      </c>
      <c r="CV33" s="9">
        <f t="array" ref="CV33">SUM((ROW(Liste08[Platz])&lt;=ROW())*(Liste08[Platz]=Liste08[[#This Row],[Platz]])*NOT(Liste08[IstGestrichen]))*NOT(Liste08[[#This Row],[IstGestrichen]])</f>
        <v>1</v>
      </c>
      <c r="CW33" s="9">
        <f t="array" ref="CW33">MIN(SUMIFS(Liste08[Wahl],Liste08[Platz],Liste08[[#This Row],[Platz]]),3)</f>
        <v>0</v>
      </c>
      <c r="CX33" s="9">
        <f>(Liste08[[#This Row],[Mult]]&gt;Liste08[[#This Row],[GülzST2]])*1*NOT(Liste08[[#This Row],[IstGestrichen]])</f>
        <v>1</v>
      </c>
      <c r="CY33" s="9">
        <f>SUMIFS(Liste08[ListPot],Liste08[Platz],Liste08[[#This Row],[Platz]],Liste08[Mult],"&lt;="&amp;Liste08[[#This Row],[Mult]])+SUMIFS(Liste08[ListPot],Liste08[Platz],"&lt;"&amp;Liste08[[#This Row],[Platz]])*Liste08[[#This Row],[ListPot]]</f>
        <v>29</v>
      </c>
      <c r="CZ33" s="9">
        <f>IF(AND(NOT(ISBLANK(CR$3)),Liste08[[#This Row],[ListPotKum]]&lt;=Reststimmen),Liste08[[#This Row],[ListPot]],0)</f>
        <v>0</v>
      </c>
      <c r="DA33" s="4">
        <f>MIN(SUMIFS(Liste08[Wahl],Liste08[Platz],Liste08[[#This Row],[Platz]]),3)*(Liste08[[#This Row],[Mult]]=1)*StimmenzahlOk</f>
        <v>0</v>
      </c>
      <c r="DB33" s="4">
        <f>SUMIFS(Liste08[ListVerg],Liste08[Platz],Liste08[[#This Row],[Platz]])*(Liste08[[#This Row],[Mult]]=1)*ListenkreuzeOk</f>
        <v>0</v>
      </c>
      <c r="DC33" s="4">
        <f>Liste08[[#This Row],[Liste]]+Liste08[[#This Row],[Einzel]]</f>
        <v>0</v>
      </c>
      <c r="DE33" s="8"/>
      <c r="DF33" s="3"/>
      <c r="DG33" s="28"/>
      <c r="DH33" s="9" t="b">
        <f>AND((Liste09[[#This Row],[Wahl]]=0),LEN(Liste09[[#This Row],[Wahl]])=1)</f>
        <v>0</v>
      </c>
      <c r="DI33" s="9">
        <f t="array" ref="DI33">SUM((ROW(Liste09[Platz])&lt;=ROW())*(Liste09[Platz]=Liste09[[#This Row],[Platz]])*NOT(Liste09[IstGestrichen]))*NOT(Liste09[[#This Row],[IstGestrichen]])</f>
        <v>29</v>
      </c>
      <c r="DJ33" s="9">
        <f t="array" ref="DJ33">MIN(SUMIFS(Liste09[Wahl],Liste09[Platz],Liste09[[#This Row],[Platz]]),3)</f>
        <v>0</v>
      </c>
      <c r="DK33" s="9">
        <f>(Liste09[[#This Row],[Mult]]&gt;Liste09[[#This Row],[GülzST2]])*1*NOT(Liste09[[#This Row],[IstGestrichen]])</f>
        <v>1</v>
      </c>
      <c r="DL33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3" s="9">
        <f>IF(AND(NOT(ISBLANK(DE$3)),Liste09[[#This Row],[ListPotKum]]&lt;=Reststimmen),Liste09[[#This Row],[ListPot]],0)</f>
        <v>0</v>
      </c>
      <c r="DN33" s="4">
        <f>MIN(SUMIFS(Liste09[Wahl],Liste09[Platz],Liste09[[#This Row],[Platz]]),3)*(Liste09[[#This Row],[Mult]]=1)*StimmenzahlOk</f>
        <v>0</v>
      </c>
      <c r="DO33" s="4">
        <f>SUMIFS(Liste09[ListVerg],Liste09[Platz],Liste09[[#This Row],[Platz]])*(Liste09[[#This Row],[Mult]]=1)*ListenkreuzeOk</f>
        <v>0</v>
      </c>
      <c r="DP33" s="4">
        <f>Liste09[[#This Row],[Liste]]+Liste09[[#This Row],[Einzel]]</f>
        <v>0</v>
      </c>
    </row>
    <row r="34" spans="1:120" ht="15.75" x14ac:dyDescent="0.25">
      <c r="A34" s="13" t="s">
        <v>13</v>
      </c>
      <c r="B34" s="21">
        <f>Liste01[[#Totals],[Wahl]]+Liste02[[#Totals],[Wahl]]+Liste03[[#Totals],[Wahl]]+Liste04[[#Totals],[Wahl]]+Liste05[[#Totals],[Wahl]]+Liste06[[#Totals],[Spalte1]]+Liste07[[#Totals],[Wahl]]+Liste08[[#Totals],[Wahl]]+Liste09[[#Totals],[Wahl]]</f>
        <v>0</v>
      </c>
      <c r="E34" s="42"/>
      <c r="F34" s="3">
        <v>130</v>
      </c>
      <c r="G34" s="2" t="s">
        <v>302</v>
      </c>
      <c r="H34" s="9" t="b">
        <f>AND((Liste01[[#This Row],[Wahl]]=0),LEN(Liste01[[#This Row],[Wahl]])=1)</f>
        <v>0</v>
      </c>
      <c r="I34" s="9">
        <f t="array" ref="I34">SUM((ROW(Liste01[Platz])&lt;=ROW())*(Liste01[Platz]=Liste01[[#This Row],[Platz]])*NOT(Liste01[IstGestrichen]))*NOT(Liste01[[#This Row],[IstGestrichen]])</f>
        <v>1</v>
      </c>
      <c r="J34" s="9">
        <f t="array" ref="J34">MIN(SUMIFS(Liste01[Wahl],Liste01[Platz],Liste01[[#This Row],[Platz]]),3)</f>
        <v>0</v>
      </c>
      <c r="K34" s="9">
        <f>(Liste01[[#This Row],[Mult]]&gt;Liste01[[#This Row],[GülzST2]])*1*NOT(Liste01[[#This Row],[IstGestrichen]])</f>
        <v>1</v>
      </c>
      <c r="L34" s="9">
        <f>SUMIFS(Liste01[ListPot],Liste01[Platz],Liste01[[#This Row],[Platz]],Liste01[Mult],"&lt;="&amp;Liste01[[#This Row],[Mult]])+SUMIFS(Liste01[ListPot],Liste01[Platz],"&lt;"&amp;Liste01[[#This Row],[Platz]])*Liste01[[#This Row],[ListPot]]</f>
        <v>30</v>
      </c>
      <c r="M34" s="14">
        <f>IF(AND(NOT(ISBLANK(E$3)),Liste01[[#This Row],[ListPotKum]]&lt;=Reststimmen),Liste01[[#This Row],[ListPot]],0)</f>
        <v>0</v>
      </c>
      <c r="N34" s="4">
        <f>MIN(SUMIFS(Liste01[Wahl],Liste01[Platz],Liste01[[#This Row],[Platz]]),3)*(Liste01[[#This Row],[Mult]]=1)*StimmenzahlOk</f>
        <v>0</v>
      </c>
      <c r="O34" s="15">
        <f>SUMIFS(Liste01[ListVerg],Liste01[Platz],Liste01[[#This Row],[Platz]])*(Liste01[[#This Row],[Mult]]=1)*ListenkreuzeOk</f>
        <v>0</v>
      </c>
      <c r="P34" s="4">
        <f>Liste01[[#This Row],[Liste]]+Liste01[[#This Row],[Einzel]]</f>
        <v>0</v>
      </c>
      <c r="R34" s="8"/>
      <c r="S34" s="3">
        <v>230</v>
      </c>
      <c r="T34" s="28" t="s">
        <v>352</v>
      </c>
      <c r="U34" s="9" t="b">
        <f>AND((Liste02[[#This Row],[Wahl]]=0),LEN(Liste02[[#This Row],[Wahl]])=1)</f>
        <v>0</v>
      </c>
      <c r="V34" s="9">
        <f t="array" ref="V34">SUM((ROW(Liste02[Platz])&lt;=ROW())*(Liste02[Platz]=Liste02[[#This Row],[Platz]])*NOT(Liste02[IstGestrichen]))*NOT(Liste02[[#This Row],[IstGestrichen]])</f>
        <v>1</v>
      </c>
      <c r="W34" s="9">
        <f t="array" ref="W34">MIN(SUMIFS(Liste02[Wahl],Liste02[Platz],Liste02[[#This Row],[Platz]]),3)</f>
        <v>0</v>
      </c>
      <c r="X34" s="9">
        <f>(Liste02[[#This Row],[Mult]]&gt;Liste02[[#This Row],[GülzST2]])*1*NOT(Liste02[[#This Row],[IstGestrichen]])</f>
        <v>1</v>
      </c>
      <c r="Y34" s="9">
        <f>SUMIFS(Liste02[ListPot],Liste02[Platz],Liste02[[#This Row],[Platz]],Liste02[Mult],"&lt;="&amp;Liste02[[#This Row],[Mult]])+SUMIFS(Liste02[ListPot],Liste02[Platz],"&lt;"&amp;Liste02[[#This Row],[Platz]])*Liste02[[#This Row],[ListPot]]</f>
        <v>30</v>
      </c>
      <c r="Z34" s="14">
        <f>IF(AND(NOT(ISBLANK(R$3)),Liste02[[#This Row],[ListPotKum]]&lt;=Reststimmen),Liste02[[#This Row],[ListPot]],0)</f>
        <v>0</v>
      </c>
      <c r="AA34" s="4">
        <f>MIN(SUMIFS(Liste02[Wahl],Liste02[Platz],Liste02[[#This Row],[Platz]]),3)*(Liste02[[#This Row],[Mult]]=1)*StimmenzahlOk</f>
        <v>0</v>
      </c>
      <c r="AB34" s="15">
        <f>SUMIFS(Liste02[ListVerg],Liste02[Platz],Liste02[[#This Row],[Platz]])*(Liste02[[#This Row],[Mult]]=1)*ListenkreuzeOk</f>
        <v>0</v>
      </c>
      <c r="AC34" s="4">
        <f>Liste02[[#This Row],[Liste]]+Liste02[[#This Row],[Einzel]]</f>
        <v>0</v>
      </c>
      <c r="AE34" s="42"/>
      <c r="AF34" s="3">
        <v>330</v>
      </c>
      <c r="AG34" s="37" t="s">
        <v>402</v>
      </c>
      <c r="AH34" s="9" t="b">
        <f>AND((Liste03[[#This Row],[Wahl]]=0),LEN(Liste03[[#This Row],[Wahl]])=1)</f>
        <v>0</v>
      </c>
      <c r="AI34" s="9">
        <f t="array" ref="AI34">SUM((ROW(Liste03[Platz])&lt;=ROW())*(Liste03[Platz]=Liste03[[#This Row],[Platz]])*NOT(Liste03[IstGestrichen]))*NOT(Liste03[[#This Row],[IstGestrichen]])</f>
        <v>1</v>
      </c>
      <c r="AJ34" s="9">
        <f t="array" ref="AJ34">MIN(SUMIFS(Liste03[Wahl],Liste03[Platz],Liste03[[#This Row],[Platz]]),3)</f>
        <v>0</v>
      </c>
      <c r="AK34" s="9">
        <f>(Liste03[[#This Row],[Mult]]&gt;Liste03[[#This Row],[GülzST2]])*1*NOT(Liste03[[#This Row],[IstGestrichen]])</f>
        <v>1</v>
      </c>
      <c r="AL34" s="9">
        <f>SUMIFS(Liste03[ListPot],Liste03[Platz],Liste03[[#This Row],[Platz]],Liste03[Mult],"&lt;="&amp;Liste03[[#This Row],[Mult]])+SUMIFS(Liste03[ListPot],Liste03[Platz],"&lt;"&amp;Liste03[[#This Row],[Platz]])*Liste03[[#This Row],[ListPot]]</f>
        <v>30</v>
      </c>
      <c r="AM34" s="14">
        <f>IF(AND(NOT(ISBLANK(AE$3)),Liste03[[#This Row],[ListPotKum]]&lt;=Reststimmen),Liste03[[#This Row],[ListPot]],0)</f>
        <v>0</v>
      </c>
      <c r="AN34" s="4">
        <f>MIN(SUMIFS(Liste03[Wahl],Liste03[Platz],Liste03[[#This Row],[Platz]]),3)*(Liste03[[#This Row],[Mult]]=1)*StimmenzahlOk</f>
        <v>0</v>
      </c>
      <c r="AO34" s="15">
        <f>SUMIFS(Liste03[ListVerg],Liste03[Platz],Liste03[[#This Row],[Platz]])*(Liste03[[#This Row],[Mult]]=1)*ListenkreuzeOk</f>
        <v>0</v>
      </c>
      <c r="AP34" s="4">
        <f>Liste03[[#This Row],[Liste]]+Liste03[[#This Row],[Einzel]]</f>
        <v>0</v>
      </c>
      <c r="AR34" s="42"/>
      <c r="AS34" s="3"/>
      <c r="AT34" s="37"/>
      <c r="AU34" s="9" t="b">
        <f>AND((Liste04[[#This Row],[Wahl]]=0),LEN(Liste04[[#This Row],[Wahl]])=1)</f>
        <v>0</v>
      </c>
      <c r="AV34" s="9">
        <f t="array" ref="AV34">SUM((ROW(Liste04[Platz])&lt;=ROW())*(Liste04[Platz]=Liste04[[#This Row],[Platz]])*NOT(Liste04[IstGestrichen]))*NOT(Liste04[[#This Row],[IstGestrichen]])</f>
        <v>30</v>
      </c>
      <c r="AW34" s="9">
        <f t="array" ref="AW34">MIN(SUMIFS(Liste04[Wahl],Liste04[Platz],Liste04[[#This Row],[Platz]]),3)</f>
        <v>0</v>
      </c>
      <c r="AX34" s="9">
        <f>(Liste04[[#This Row],[Mult]]&gt;Liste04[[#This Row],[GülzST2]])*1*NOT(Liste04[[#This Row],[IstGestrichen]])</f>
        <v>1</v>
      </c>
      <c r="AY34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4" s="14">
        <f>IF(AND(NOT(ISBLANK(AR$3)),Liste04[[#This Row],[ListPotKum]]&lt;=Reststimmen),Liste04[[#This Row],[ListPot]],0)</f>
        <v>0</v>
      </c>
      <c r="BA34" s="4">
        <f>MIN(SUMIFS(Liste04[Wahl],Liste04[Platz],Liste04[[#This Row],[Platz]]),3)*(Liste04[[#This Row],[Mult]]=1)*StimmenzahlOk</f>
        <v>0</v>
      </c>
      <c r="BB34" s="15">
        <f>SUMIFS(Liste04[ListVerg],Liste04[Platz],Liste04[[#This Row],[Platz]])*(Liste04[[#This Row],[Mult]]=1)*ListenkreuzeOk</f>
        <v>0</v>
      </c>
      <c r="BC34" s="4">
        <f>Liste04[[#This Row],[Liste]]+Liste04[[#This Row],[Einzel]]</f>
        <v>0</v>
      </c>
      <c r="BE34" s="42"/>
      <c r="BF34" s="3">
        <v>530</v>
      </c>
      <c r="BG34" s="37" t="s">
        <v>454</v>
      </c>
      <c r="BH34" s="9" t="b">
        <f>AND((Liste05[[#This Row],[Wahl]]=0),LEN(Liste05[[#This Row],[Wahl]])=1)</f>
        <v>0</v>
      </c>
      <c r="BI34" s="9">
        <f t="array" ref="BI34">SUM((ROW(Liste05[Platz])&lt;=ROW())*(Liste05[Platz]=Liste05[[#This Row],[Platz]])*NOT(Liste05[IstGestrichen]))*NOT(Liste05[[#This Row],[IstGestrichen]])</f>
        <v>1</v>
      </c>
      <c r="BJ34" s="9">
        <f t="array" ref="BJ34">MIN(SUMIFS(Liste05[Wahl],Liste05[Platz],Liste05[[#This Row],[Platz]]),3)</f>
        <v>0</v>
      </c>
      <c r="BK34" s="9">
        <f>(Liste05[[#This Row],[Mult]]&gt;Liste05[[#This Row],[GülzST2]])*1*NOT(Liste05[[#This Row],[IstGestrichen]])</f>
        <v>1</v>
      </c>
      <c r="BL34" s="9">
        <f>SUMIFS(Liste05[ListPot],Liste05[Platz],Liste05[[#This Row],[Platz]],Liste05[Mult],"&lt;="&amp;Liste05[[#This Row],[Mult]])+SUMIFS(Liste05[ListPot],Liste05[Platz],"&lt;"&amp;Liste05[[#This Row],[Platz]])*Liste05[[#This Row],[ListPot]]</f>
        <v>30</v>
      </c>
      <c r="BM34" s="14">
        <f>IF(AND(NOT(ISBLANK(BE$3)),Liste05[[#This Row],[ListPotKum]]&lt;=Reststimmen),Liste05[[#This Row],[ListPot]],0)</f>
        <v>0</v>
      </c>
      <c r="BN34" s="4">
        <f>MIN(SUMIFS(Liste05[Wahl],Liste05[Platz],Liste05[[#This Row],[Platz]]),3)*(Liste05[[#This Row],[Mult]]=1)*StimmenzahlOk</f>
        <v>0</v>
      </c>
      <c r="BO34" s="15">
        <f>SUMIFS(Liste05[ListVerg],Liste05[Platz],Liste05[[#This Row],[Platz]])*(Liste05[[#This Row],[Mult]]=1)*ListenkreuzeOk</f>
        <v>0</v>
      </c>
      <c r="BP34" s="4">
        <f>Liste05[[#This Row],[Liste]]+Liste05[[#This Row],[Einzel]]</f>
        <v>0</v>
      </c>
      <c r="BR34" s="8"/>
      <c r="BS34" s="3"/>
      <c r="BT34" s="28"/>
      <c r="BU34" s="9" t="b">
        <f>AND((Liste06[[#This Row],[Spalte1]]=0),LEN(Liste06[[#This Row],[Spalte1]])=1)</f>
        <v>0</v>
      </c>
      <c r="BV34" s="9">
        <f t="array" ref="BV34">SUM((ROW(Liste06[Spalte2])&lt;=ROW())*(Liste06[Spalte2]=Liste06[[#This Row],[Spalte2]])*NOT(Liste06[IstGestrichen]))*NOT(Liste06[[#This Row],[IstGestrichen]])</f>
        <v>30</v>
      </c>
      <c r="BW34" s="9">
        <f t="array" ref="BW34">MIN(SUMIFS(Liste06[Spalte1],Liste06[Spalte2],Liste06[[#This Row],[Spalte2]]),3)</f>
        <v>0</v>
      </c>
      <c r="BX34" s="9">
        <f>(Liste06[[#This Row],[Mult]]&gt;Liste06[[#This Row],[GülzST2]])*1*NOT(Liste06[[#This Row],[IstGestrichen]])</f>
        <v>1</v>
      </c>
      <c r="BY34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4" s="14">
        <f>IF(AND(NOT(ISBLANK(BR$3)),Liste06[[#This Row],[ListPotKum]]&lt;=Reststimmen),Liste06[[#This Row],[ListPot]],0)</f>
        <v>0</v>
      </c>
      <c r="CA34" s="4">
        <f>MIN(SUMIFS(Liste06[Spalte1],Liste06[Spalte2],Liste06[[#This Row],[Spalte2]]),3)*(Liste06[[#This Row],[Mult]]=1)*StimmenzahlOk</f>
        <v>0</v>
      </c>
      <c r="CB34" s="15">
        <f>SUMIFS(Liste06[ListVerg],Liste06[Spalte2],Liste06[[#This Row],[Spalte2]])*(Liste06[[#This Row],[Mult]]=1)*ListenkreuzeOk</f>
        <v>0</v>
      </c>
      <c r="CC34" s="4">
        <f>Liste06[[#This Row],[Liste]]+Liste06[[#This Row],[Einzel]]</f>
        <v>0</v>
      </c>
      <c r="CE34" s="8"/>
      <c r="CF34" s="3">
        <v>730</v>
      </c>
      <c r="CG34" s="28" t="s">
        <v>504</v>
      </c>
      <c r="CH34" s="9" t="b">
        <f>AND((Liste07[[#This Row],[Wahl]]=0),LEN(Liste07[[#This Row],[Wahl]])=1)</f>
        <v>0</v>
      </c>
      <c r="CI34" s="9">
        <f t="array" ref="CI34">SUM((ROW(Liste07[Platz])&lt;=ROW())*(Liste07[Platz]=Liste07[[#This Row],[Platz]])*NOT(Liste07[IstGestrichen]))*NOT(Liste07[[#This Row],[IstGestrichen]])</f>
        <v>1</v>
      </c>
      <c r="CJ34" s="9">
        <f t="array" ref="CJ34">MIN(SUMIFS(Liste07[Wahl],Liste07[Platz],Liste07[[#This Row],[Platz]]),3)</f>
        <v>0</v>
      </c>
      <c r="CK34" s="9">
        <f>(Liste07[[#This Row],[Mult]]&gt;Liste07[[#This Row],[GülzST2]])*1*NOT(Liste07[[#This Row],[IstGestrichen]])</f>
        <v>1</v>
      </c>
      <c r="CL34" s="9">
        <f>SUMIFS(Liste07[ListPot],Liste07[Platz],Liste07[[#This Row],[Platz]],Liste07[Mult],"&lt;="&amp;Liste07[[#This Row],[Mult]])+SUMIFS(Liste07[ListPot],Liste07[Platz],"&lt;"&amp;Liste07[[#This Row],[Platz]])*Liste07[[#This Row],[ListPot]]</f>
        <v>30</v>
      </c>
      <c r="CM34" s="14">
        <f>IF(AND(NOT(ISBLANK(CE$3)),Liste07[[#This Row],[ListPotKum]]&lt;=Reststimmen),Liste07[[#This Row],[ListPot]],0)</f>
        <v>0</v>
      </c>
      <c r="CN34" s="4">
        <f>MIN(SUMIFS(Liste07[Wahl],Liste07[Platz],Liste07[[#This Row],[Platz]]),3)*(Liste07[[#This Row],[Mult]]=1)*StimmenzahlOk</f>
        <v>0</v>
      </c>
      <c r="CO34" s="15">
        <f>SUMIFS(Liste07[ListVerg],Liste07[Platz],Liste07[[#This Row],[Platz]])*(Liste07[[#This Row],[Mult]]=1)*ListenkreuzeOk</f>
        <v>0</v>
      </c>
      <c r="CP34" s="4">
        <f>Liste07[[#This Row],[Liste]]+Liste07[[#This Row],[Einzel]]</f>
        <v>0</v>
      </c>
      <c r="CR34" s="8"/>
      <c r="CS34" s="3">
        <v>830</v>
      </c>
      <c r="CT34" s="28" t="s">
        <v>555</v>
      </c>
      <c r="CU34" s="9" t="b">
        <f>AND((Liste08[[#This Row],[Wahl]]=0),LEN(Liste08[[#This Row],[Wahl]])=1)</f>
        <v>0</v>
      </c>
      <c r="CV34" s="9">
        <f t="array" ref="CV34">SUM((ROW(Liste08[Platz])&lt;=ROW())*(Liste08[Platz]=Liste08[[#This Row],[Platz]])*NOT(Liste08[IstGestrichen]))*NOT(Liste08[[#This Row],[IstGestrichen]])</f>
        <v>1</v>
      </c>
      <c r="CW34" s="9">
        <f t="array" ref="CW34">MIN(SUMIFS(Liste08[Wahl],Liste08[Platz],Liste08[[#This Row],[Platz]]),3)</f>
        <v>0</v>
      </c>
      <c r="CX34" s="9">
        <f>(Liste08[[#This Row],[Mult]]&gt;Liste08[[#This Row],[GülzST2]])*1*NOT(Liste08[[#This Row],[IstGestrichen]])</f>
        <v>1</v>
      </c>
      <c r="CY34" s="9">
        <f>SUMIFS(Liste08[ListPot],Liste08[Platz],Liste08[[#This Row],[Platz]],Liste08[Mult],"&lt;="&amp;Liste08[[#This Row],[Mult]])+SUMIFS(Liste08[ListPot],Liste08[Platz],"&lt;"&amp;Liste08[[#This Row],[Platz]])*Liste08[[#This Row],[ListPot]]</f>
        <v>30</v>
      </c>
      <c r="CZ34" s="14">
        <f>IF(AND(NOT(ISBLANK(CR$3)),Liste08[[#This Row],[ListPotKum]]&lt;=Reststimmen),Liste08[[#This Row],[ListPot]],0)</f>
        <v>0</v>
      </c>
      <c r="DA34" s="4">
        <f>MIN(SUMIFS(Liste08[Wahl],Liste08[Platz],Liste08[[#This Row],[Platz]]),3)*(Liste08[[#This Row],[Mult]]=1)*StimmenzahlOk</f>
        <v>0</v>
      </c>
      <c r="DB34" s="15">
        <f>SUMIFS(Liste08[ListVerg],Liste08[Platz],Liste08[[#This Row],[Platz]])*(Liste08[[#This Row],[Mult]]=1)*ListenkreuzeOk</f>
        <v>0</v>
      </c>
      <c r="DC34" s="4">
        <f>Liste08[[#This Row],[Liste]]+Liste08[[#This Row],[Einzel]]</f>
        <v>0</v>
      </c>
      <c r="DE34" s="8"/>
      <c r="DF34" s="3"/>
      <c r="DG34" s="28"/>
      <c r="DH34" s="9" t="b">
        <f>AND((Liste09[[#This Row],[Wahl]]=0),LEN(Liste09[[#This Row],[Wahl]])=1)</f>
        <v>0</v>
      </c>
      <c r="DI34" s="9">
        <f t="array" ref="DI34">SUM((ROW(Liste09[Platz])&lt;=ROW())*(Liste09[Platz]=Liste09[[#This Row],[Platz]])*NOT(Liste09[IstGestrichen]))*NOT(Liste09[[#This Row],[IstGestrichen]])</f>
        <v>30</v>
      </c>
      <c r="DJ34" s="9">
        <f t="array" ref="DJ34">MIN(SUMIFS(Liste09[Wahl],Liste09[Platz],Liste09[[#This Row],[Platz]]),3)</f>
        <v>0</v>
      </c>
      <c r="DK34" s="9">
        <f>(Liste09[[#This Row],[Mult]]&gt;Liste09[[#This Row],[GülzST2]])*1*NOT(Liste09[[#This Row],[IstGestrichen]])</f>
        <v>1</v>
      </c>
      <c r="DL34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4" s="14">
        <f>IF(AND(NOT(ISBLANK(DE$3)),Liste09[[#This Row],[ListPotKum]]&lt;=Reststimmen),Liste09[[#This Row],[ListPot]],0)</f>
        <v>0</v>
      </c>
      <c r="DN34" s="4">
        <f>MIN(SUMIFS(Liste09[Wahl],Liste09[Platz],Liste09[[#This Row],[Platz]]),3)*(Liste09[[#This Row],[Mult]]=1)*StimmenzahlOk</f>
        <v>0</v>
      </c>
      <c r="DO34" s="15">
        <f>SUMIFS(Liste09[ListVerg],Liste09[Platz],Liste09[[#This Row],[Platz]])*(Liste09[[#This Row],[Mult]]=1)*ListenkreuzeOk</f>
        <v>0</v>
      </c>
      <c r="DP34" s="4">
        <f>Liste09[[#This Row],[Liste]]+Liste09[[#This Row],[Einzel]]</f>
        <v>0</v>
      </c>
    </row>
    <row r="35" spans="1:120" ht="15.75" x14ac:dyDescent="0.25">
      <c r="A35" s="13" t="s">
        <v>21</v>
      </c>
      <c r="B35" s="22" t="b">
        <f>VergebeneEinzelstimmen&lt;=MaxStimmen</f>
        <v>1</v>
      </c>
      <c r="E35" s="42"/>
      <c r="F35" s="3">
        <v>131</v>
      </c>
      <c r="G35" s="2" t="s">
        <v>303</v>
      </c>
      <c r="H35" s="9" t="b">
        <f>AND((Liste01[[#This Row],[Wahl]]=0),LEN(Liste01[[#This Row],[Wahl]])=1)</f>
        <v>0</v>
      </c>
      <c r="I35" s="9">
        <f t="array" ref="I35">SUM((ROW(Liste01[Platz])&lt;=ROW())*(Liste01[Platz]=Liste01[[#This Row],[Platz]])*NOT(Liste01[IstGestrichen]))*NOT(Liste01[[#This Row],[IstGestrichen]])</f>
        <v>1</v>
      </c>
      <c r="J35" s="9">
        <f t="array" ref="J35">MIN(SUMIFS(Liste01[Wahl],Liste01[Platz],Liste01[[#This Row],[Platz]]),3)</f>
        <v>0</v>
      </c>
      <c r="K35" s="9">
        <f>(Liste01[[#This Row],[Mult]]&gt;Liste01[[#This Row],[GülzST2]])*1*NOT(Liste01[[#This Row],[IstGestrichen]])</f>
        <v>1</v>
      </c>
      <c r="L35" s="9">
        <f>SUMIFS(Liste01[ListPot],Liste01[Platz],Liste01[[#This Row],[Platz]],Liste01[Mult],"&lt;="&amp;Liste01[[#This Row],[Mult]])+SUMIFS(Liste01[ListPot],Liste01[Platz],"&lt;"&amp;Liste01[[#This Row],[Platz]])*Liste01[[#This Row],[ListPot]]</f>
        <v>31</v>
      </c>
      <c r="M35" s="14">
        <f>IF(AND(NOT(ISBLANK(E$3)),Liste01[[#This Row],[ListPotKum]]&lt;=Reststimmen),Liste01[[#This Row],[ListPot]],0)</f>
        <v>0</v>
      </c>
      <c r="N35" s="4">
        <f>MIN(SUMIFS(Liste01[Wahl],Liste01[Platz],Liste01[[#This Row],[Platz]]),3)*(Liste01[[#This Row],[Mult]]=1)*StimmenzahlOk</f>
        <v>0</v>
      </c>
      <c r="O35" s="15">
        <f>SUMIFS(Liste01[ListVerg],Liste01[Platz],Liste01[[#This Row],[Platz]])*(Liste01[[#This Row],[Mult]]=1)*ListenkreuzeOk</f>
        <v>0</v>
      </c>
      <c r="P35" s="4">
        <f>Liste01[[#This Row],[Liste]]+Liste01[[#This Row],[Einzel]]</f>
        <v>0</v>
      </c>
      <c r="R35" s="42"/>
      <c r="S35" s="3">
        <v>231</v>
      </c>
      <c r="T35" s="37" t="s">
        <v>353</v>
      </c>
      <c r="U35" s="9" t="b">
        <f>AND((Liste02[[#This Row],[Wahl]]=0),LEN(Liste02[[#This Row],[Wahl]])=1)</f>
        <v>0</v>
      </c>
      <c r="V35" s="9">
        <f t="array" ref="V35">SUM((ROW(Liste02[Platz])&lt;=ROW())*(Liste02[Platz]=Liste02[[#This Row],[Platz]])*NOT(Liste02[IstGestrichen]))*NOT(Liste02[[#This Row],[IstGestrichen]])</f>
        <v>1</v>
      </c>
      <c r="W35" s="9">
        <f t="array" ref="W35">MIN(SUMIFS(Liste02[Wahl],Liste02[Platz],Liste02[[#This Row],[Platz]]),3)</f>
        <v>0</v>
      </c>
      <c r="X35" s="9">
        <f>(Liste02[[#This Row],[Mult]]&gt;Liste02[[#This Row],[GülzST2]])*1*NOT(Liste02[[#This Row],[IstGestrichen]])</f>
        <v>1</v>
      </c>
      <c r="Y35" s="9">
        <f>SUMIFS(Liste02[ListPot],Liste02[Platz],Liste02[[#This Row],[Platz]],Liste02[Mult],"&lt;="&amp;Liste02[[#This Row],[Mult]])+SUMIFS(Liste02[ListPot],Liste02[Platz],"&lt;"&amp;Liste02[[#This Row],[Platz]])*Liste02[[#This Row],[ListPot]]</f>
        <v>31</v>
      </c>
      <c r="Z35" s="14">
        <f>IF(AND(NOT(ISBLANK(R$3)),Liste02[[#This Row],[ListPotKum]]&lt;=Reststimmen),Liste02[[#This Row],[ListPot]],0)</f>
        <v>0</v>
      </c>
      <c r="AA35" s="4">
        <f>MIN(SUMIFS(Liste02[Wahl],Liste02[Platz],Liste02[[#This Row],[Platz]]),3)*(Liste02[[#This Row],[Mult]]=1)*StimmenzahlOk</f>
        <v>0</v>
      </c>
      <c r="AB35" s="15">
        <f>SUMIFS(Liste02[ListVerg],Liste02[Platz],Liste02[[#This Row],[Platz]])*(Liste02[[#This Row],[Mult]]=1)*ListenkreuzeOk</f>
        <v>0</v>
      </c>
      <c r="AC35" s="4">
        <f>Liste02[[#This Row],[Liste]]+Liste02[[#This Row],[Einzel]]</f>
        <v>0</v>
      </c>
      <c r="AE35" s="42"/>
      <c r="AF35" s="3">
        <v>331</v>
      </c>
      <c r="AG35" s="37" t="s">
        <v>403</v>
      </c>
      <c r="AH35" s="9" t="b">
        <f>AND((Liste03[[#This Row],[Wahl]]=0),LEN(Liste03[[#This Row],[Wahl]])=1)</f>
        <v>0</v>
      </c>
      <c r="AI35" s="9">
        <f t="array" ref="AI35">SUM((ROW(Liste03[Platz])&lt;=ROW())*(Liste03[Platz]=Liste03[[#This Row],[Platz]])*NOT(Liste03[IstGestrichen]))*NOT(Liste03[[#This Row],[IstGestrichen]])</f>
        <v>1</v>
      </c>
      <c r="AJ35" s="9">
        <f t="array" ref="AJ35">MIN(SUMIFS(Liste03[Wahl],Liste03[Platz],Liste03[[#This Row],[Platz]]),3)</f>
        <v>0</v>
      </c>
      <c r="AK35" s="9">
        <f>(Liste03[[#This Row],[Mult]]&gt;Liste03[[#This Row],[GülzST2]])*1*NOT(Liste03[[#This Row],[IstGestrichen]])</f>
        <v>1</v>
      </c>
      <c r="AL35" s="9">
        <f>SUMIFS(Liste03[ListPot],Liste03[Platz],Liste03[[#This Row],[Platz]],Liste03[Mult],"&lt;="&amp;Liste03[[#This Row],[Mult]])+SUMIFS(Liste03[ListPot],Liste03[Platz],"&lt;"&amp;Liste03[[#This Row],[Platz]])*Liste03[[#This Row],[ListPot]]</f>
        <v>31</v>
      </c>
      <c r="AM35" s="14">
        <f>IF(AND(NOT(ISBLANK(AE$3)),Liste03[[#This Row],[ListPotKum]]&lt;=Reststimmen),Liste03[[#This Row],[ListPot]],0)</f>
        <v>0</v>
      </c>
      <c r="AN35" s="4">
        <f>MIN(SUMIFS(Liste03[Wahl],Liste03[Platz],Liste03[[#This Row],[Platz]]),3)*(Liste03[[#This Row],[Mult]]=1)*StimmenzahlOk</f>
        <v>0</v>
      </c>
      <c r="AO35" s="15">
        <f>SUMIFS(Liste03[ListVerg],Liste03[Platz],Liste03[[#This Row],[Platz]])*(Liste03[[#This Row],[Mult]]=1)*ListenkreuzeOk</f>
        <v>0</v>
      </c>
      <c r="AP35" s="4">
        <f>Liste03[[#This Row],[Liste]]+Liste03[[#This Row],[Einzel]]</f>
        <v>0</v>
      </c>
      <c r="AR35" s="8"/>
      <c r="AS35" s="3"/>
      <c r="AT35" s="28"/>
      <c r="AU35" s="9" t="b">
        <f>AND((Liste04[[#This Row],[Wahl]]=0),LEN(Liste04[[#This Row],[Wahl]])=1)</f>
        <v>0</v>
      </c>
      <c r="AV35" s="9">
        <f t="array" ref="AV35">SUM((ROW(Liste04[Platz])&lt;=ROW())*(Liste04[Platz]=Liste04[[#This Row],[Platz]])*NOT(Liste04[IstGestrichen]))*NOT(Liste04[[#This Row],[IstGestrichen]])</f>
        <v>31</v>
      </c>
      <c r="AW35" s="9">
        <f t="array" ref="AW35">MIN(SUMIFS(Liste04[Wahl],Liste04[Platz],Liste04[[#This Row],[Platz]]),3)</f>
        <v>0</v>
      </c>
      <c r="AX35" s="9">
        <f>(Liste04[[#This Row],[Mult]]&gt;Liste04[[#This Row],[GülzST2]])*1*NOT(Liste04[[#This Row],[IstGestrichen]])</f>
        <v>1</v>
      </c>
      <c r="AY35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5" s="14">
        <f>IF(AND(NOT(ISBLANK(AR$3)),Liste04[[#This Row],[ListPotKum]]&lt;=Reststimmen),Liste04[[#This Row],[ListPot]],0)</f>
        <v>0</v>
      </c>
      <c r="BA35" s="4">
        <f>MIN(SUMIFS(Liste04[Wahl],Liste04[Platz],Liste04[[#This Row],[Platz]]),3)*(Liste04[[#This Row],[Mult]]=1)*StimmenzahlOk</f>
        <v>0</v>
      </c>
      <c r="BB35" s="15">
        <f>SUMIFS(Liste04[ListVerg],Liste04[Platz],Liste04[[#This Row],[Platz]])*(Liste04[[#This Row],[Mult]]=1)*ListenkreuzeOk</f>
        <v>0</v>
      </c>
      <c r="BC35" s="4">
        <f>Liste04[[#This Row],[Liste]]+Liste04[[#This Row],[Einzel]]</f>
        <v>0</v>
      </c>
      <c r="BE35" s="42"/>
      <c r="BF35" s="3">
        <v>531</v>
      </c>
      <c r="BG35" s="37" t="s">
        <v>455</v>
      </c>
      <c r="BH35" s="9" t="b">
        <f>AND((Liste05[[#This Row],[Wahl]]=0),LEN(Liste05[[#This Row],[Wahl]])=1)</f>
        <v>0</v>
      </c>
      <c r="BI35" s="9">
        <f t="array" ref="BI35">SUM((ROW(Liste05[Platz])&lt;=ROW())*(Liste05[Platz]=Liste05[[#This Row],[Platz]])*NOT(Liste05[IstGestrichen]))*NOT(Liste05[[#This Row],[IstGestrichen]])</f>
        <v>1</v>
      </c>
      <c r="BJ35" s="9">
        <f t="array" ref="BJ35">MIN(SUMIFS(Liste05[Wahl],Liste05[Platz],Liste05[[#This Row],[Platz]]),3)</f>
        <v>0</v>
      </c>
      <c r="BK35" s="9">
        <f>(Liste05[[#This Row],[Mult]]&gt;Liste05[[#This Row],[GülzST2]])*1*NOT(Liste05[[#This Row],[IstGestrichen]])</f>
        <v>1</v>
      </c>
      <c r="BL35" s="9">
        <f>SUMIFS(Liste05[ListPot],Liste05[Platz],Liste05[[#This Row],[Platz]],Liste05[Mult],"&lt;="&amp;Liste05[[#This Row],[Mult]])+SUMIFS(Liste05[ListPot],Liste05[Platz],"&lt;"&amp;Liste05[[#This Row],[Platz]])*Liste05[[#This Row],[ListPot]]</f>
        <v>31</v>
      </c>
      <c r="BM35" s="14">
        <f>IF(AND(NOT(ISBLANK(BE$3)),Liste05[[#This Row],[ListPotKum]]&lt;=Reststimmen),Liste05[[#This Row],[ListPot]],0)</f>
        <v>0</v>
      </c>
      <c r="BN35" s="4">
        <f>MIN(SUMIFS(Liste05[Wahl],Liste05[Platz],Liste05[[#This Row],[Platz]]),3)*(Liste05[[#This Row],[Mult]]=1)*StimmenzahlOk</f>
        <v>0</v>
      </c>
      <c r="BO35" s="15">
        <f>SUMIFS(Liste05[ListVerg],Liste05[Platz],Liste05[[#This Row],[Platz]])*(Liste05[[#This Row],[Mult]]=1)*ListenkreuzeOk</f>
        <v>0</v>
      </c>
      <c r="BP35" s="4">
        <f>Liste05[[#This Row],[Liste]]+Liste05[[#This Row],[Einzel]]</f>
        <v>0</v>
      </c>
      <c r="BR35" s="8"/>
      <c r="BS35" s="3"/>
      <c r="BT35" s="37"/>
      <c r="BU35" t="b">
        <f>AND((Liste06[[#This Row],[Spalte1]]=0),LEN(Liste06[[#This Row],[Spalte1]])=1)</f>
        <v>0</v>
      </c>
      <c r="BV35">
        <f t="array" ref="BV35">SUM((ROW(Liste06[Spalte2])&lt;=ROW())*(Liste06[Spalte2]=Liste06[[#This Row],[Spalte2]])*NOT(Liste06[IstGestrichen]))*NOT(Liste06[[#This Row],[IstGestrichen]])</f>
        <v>31</v>
      </c>
      <c r="BW35">
        <f t="array" ref="BW35">MIN(SUMIFS(Liste06[Spalte1],Liste06[Spalte2],Liste06[[#This Row],[Spalte2]]),3)</f>
        <v>0</v>
      </c>
      <c r="BX35">
        <f>(Liste06[[#This Row],[Mult]]&gt;Liste06[[#This Row],[GülzST2]])*1*NOT(Liste06[[#This Row],[IstGestrichen]])</f>
        <v>1</v>
      </c>
      <c r="BY35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5">
        <f>IF(AND(NOT(ISBLANK(BR$3)),Liste06[[#This Row],[ListPotKum]]&lt;=Reststimmen),Liste06[[#This Row],[ListPot]],0)</f>
        <v>0</v>
      </c>
      <c r="CA35" s="4">
        <f>MIN(SUMIFS(Liste06[Spalte1],Liste06[Spalte2],Liste06[[#This Row],[Spalte2]]),3)*(Liste06[[#This Row],[Mult]]=1)*StimmenzahlOk</f>
        <v>0</v>
      </c>
      <c r="CB35" s="4">
        <f>SUMIFS(Liste06[ListVerg],Liste06[Spalte2],Liste06[[#This Row],[Spalte2]])*(Liste06[[#This Row],[Mult]]=1)*ListenkreuzeOk</f>
        <v>0</v>
      </c>
      <c r="CC35" s="4">
        <f>Liste06[[#This Row],[Liste]]+Liste06[[#This Row],[Einzel]]</f>
        <v>0</v>
      </c>
      <c r="CE35" s="8"/>
      <c r="CF35" s="3">
        <v>731</v>
      </c>
      <c r="CG35" s="28" t="s">
        <v>505</v>
      </c>
      <c r="CH35" t="b">
        <f>AND((Liste07[[#This Row],[Wahl]]=0),LEN(Liste07[[#This Row],[Wahl]])=1)</f>
        <v>0</v>
      </c>
      <c r="CI35">
        <f t="array" ref="CI35">SUM((ROW(Liste07[Platz])&lt;=ROW())*(Liste07[Platz]=Liste07[[#This Row],[Platz]])*NOT(Liste07[IstGestrichen]))*NOT(Liste07[[#This Row],[IstGestrichen]])</f>
        <v>1</v>
      </c>
      <c r="CJ35">
        <f t="array" ref="CJ35">MIN(SUMIFS(Liste07[Wahl],Liste07[Platz],Liste07[[#This Row],[Platz]]),3)</f>
        <v>0</v>
      </c>
      <c r="CK35">
        <f>(Liste07[[#This Row],[Mult]]&gt;Liste07[[#This Row],[GülzST2]])*1*NOT(Liste07[[#This Row],[IstGestrichen]])</f>
        <v>1</v>
      </c>
      <c r="CL35">
        <f>SUMIFS(Liste07[ListPot],Liste07[Platz],Liste07[[#This Row],[Platz]],Liste07[Mult],"&lt;="&amp;Liste07[[#This Row],[Mult]])+SUMIFS(Liste07[ListPot],Liste07[Platz],"&lt;"&amp;Liste07[[#This Row],[Platz]])*Liste07[[#This Row],[ListPot]]</f>
        <v>31</v>
      </c>
      <c r="CM35">
        <f>IF(AND(NOT(ISBLANK(CE$3)),Liste07[[#This Row],[ListPotKum]]&lt;=Reststimmen),Liste07[[#This Row],[ListPot]],0)</f>
        <v>0</v>
      </c>
      <c r="CN35" s="4">
        <f>MIN(SUMIFS(Liste07[Wahl],Liste07[Platz],Liste07[[#This Row],[Platz]]),3)*(Liste07[[#This Row],[Mult]]=1)*StimmenzahlOk</f>
        <v>0</v>
      </c>
      <c r="CO35" s="4">
        <f>SUMIFS(Liste07[ListVerg],Liste07[Platz],Liste07[[#This Row],[Platz]])*(Liste07[[#This Row],[Mult]]=1)*ListenkreuzeOk</f>
        <v>0</v>
      </c>
      <c r="CP35" s="4">
        <f>Liste07[[#This Row],[Liste]]+Liste07[[#This Row],[Einzel]]</f>
        <v>0</v>
      </c>
      <c r="CR35" s="42"/>
      <c r="CS35" s="3">
        <v>831</v>
      </c>
      <c r="CT35" s="37" t="s">
        <v>556</v>
      </c>
      <c r="CU35" s="9" t="b">
        <f>AND((Liste08[[#This Row],[Wahl]]=0),LEN(Liste08[[#This Row],[Wahl]])=1)</f>
        <v>0</v>
      </c>
      <c r="CV35" s="9">
        <f t="array" ref="CV35">SUM((ROW(Liste08[Platz])&lt;=ROW())*(Liste08[Platz]=Liste08[[#This Row],[Platz]])*NOT(Liste08[IstGestrichen]))*NOT(Liste08[[#This Row],[IstGestrichen]])</f>
        <v>1</v>
      </c>
      <c r="CW35" s="9">
        <f t="array" ref="CW35">MIN(SUMIFS(Liste08[Wahl],Liste08[Platz],Liste08[[#This Row],[Platz]]),3)</f>
        <v>0</v>
      </c>
      <c r="CX35" s="9">
        <f>(Liste08[[#This Row],[Mult]]&gt;Liste08[[#This Row],[GülzST2]])*1*NOT(Liste08[[#This Row],[IstGestrichen]])</f>
        <v>1</v>
      </c>
      <c r="CY35" s="9">
        <f>SUMIFS(Liste08[ListPot],Liste08[Platz],Liste08[[#This Row],[Platz]],Liste08[Mult],"&lt;="&amp;Liste08[[#This Row],[Mult]])+SUMIFS(Liste08[ListPot],Liste08[Platz],"&lt;"&amp;Liste08[[#This Row],[Platz]])*Liste08[[#This Row],[ListPot]]</f>
        <v>31</v>
      </c>
      <c r="CZ35" s="14">
        <f>IF(AND(NOT(ISBLANK(CR$3)),Liste08[[#This Row],[ListPotKum]]&lt;=Reststimmen),Liste08[[#This Row],[ListPot]],0)</f>
        <v>0</v>
      </c>
      <c r="DA35" s="4">
        <f>MIN(SUMIFS(Liste08[Wahl],Liste08[Platz],Liste08[[#This Row],[Platz]]),3)*(Liste08[[#This Row],[Mult]]=1)*StimmenzahlOk</f>
        <v>0</v>
      </c>
      <c r="DB35" s="15">
        <f>SUMIFS(Liste08[ListVerg],Liste08[Platz],Liste08[[#This Row],[Platz]])*(Liste08[[#This Row],[Mult]]=1)*ListenkreuzeOk</f>
        <v>0</v>
      </c>
      <c r="DC35" s="4">
        <f>Liste08[[#This Row],[Liste]]+Liste08[[#This Row],[Einzel]]</f>
        <v>0</v>
      </c>
      <c r="DE35" s="8"/>
      <c r="DF35" s="3"/>
      <c r="DG35" s="28"/>
      <c r="DH35" t="b">
        <f>AND((Liste09[[#This Row],[Wahl]]=0),LEN(Liste09[[#This Row],[Wahl]])=1)</f>
        <v>0</v>
      </c>
      <c r="DI35">
        <f t="array" ref="DI35">SUM((ROW(Liste09[Platz])&lt;=ROW())*(Liste09[Platz]=Liste09[[#This Row],[Platz]])*NOT(Liste09[IstGestrichen]))*NOT(Liste09[[#This Row],[IstGestrichen]])</f>
        <v>31</v>
      </c>
      <c r="DJ35">
        <f t="array" ref="DJ35">MIN(SUMIFS(Liste09[Wahl],Liste09[Platz],Liste09[[#This Row],[Platz]]),3)</f>
        <v>0</v>
      </c>
      <c r="DK35">
        <f>(Liste09[[#This Row],[Mult]]&gt;Liste09[[#This Row],[GülzST2]])*1*NOT(Liste09[[#This Row],[IstGestrichen]])</f>
        <v>1</v>
      </c>
      <c r="DL35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5">
        <f>IF(AND(NOT(ISBLANK(DE$3)),Liste09[[#This Row],[ListPotKum]]&lt;=Reststimmen),Liste09[[#This Row],[ListPot]],0)</f>
        <v>0</v>
      </c>
      <c r="DN35" s="4">
        <f>MIN(SUMIFS(Liste09[Wahl],Liste09[Platz],Liste09[[#This Row],[Platz]]),3)*(Liste09[[#This Row],[Mult]]=1)*StimmenzahlOk</f>
        <v>0</v>
      </c>
      <c r="DO35" s="4">
        <f>SUMIFS(Liste09[ListVerg],Liste09[Platz],Liste09[[#This Row],[Platz]])*(Liste09[[#This Row],[Mult]]=1)*ListenkreuzeOk</f>
        <v>0</v>
      </c>
      <c r="DP35" s="4">
        <f>Liste09[[#This Row],[Liste]]+Liste09[[#This Row],[Einzel]]</f>
        <v>0</v>
      </c>
    </row>
    <row r="36" spans="1:120" ht="15.75" x14ac:dyDescent="0.25">
      <c r="A36" s="13" t="s">
        <v>14</v>
      </c>
      <c r="B36" s="21">
        <f>Liste01[[#Totals],[Einzel]]+Liste02[[#Totals],[Einzel]]+Liste03[[#Totals],[Einzel]]+Liste04[[#Totals],[Einzel]]+Liste05[[#Totals],[Einzel]]+Liste06[[#Totals],[Einzel]]+Liste07[[#Totals],[Einzel]]+Liste08[[#Totals],[Einzel]]+Liste09[[#Totals],[Einzel]]</f>
        <v>0</v>
      </c>
      <c r="E36" s="42"/>
      <c r="F36" s="3">
        <v>132</v>
      </c>
      <c r="G36" s="2" t="s">
        <v>304</v>
      </c>
      <c r="H36" s="9" t="b">
        <f>AND((Liste01[[#This Row],[Wahl]]=0),LEN(Liste01[[#This Row],[Wahl]])=1)</f>
        <v>0</v>
      </c>
      <c r="I36" s="9">
        <f t="array" ref="I36">SUM((ROW(Liste01[Platz])&lt;=ROW())*(Liste01[Platz]=Liste01[[#This Row],[Platz]])*NOT(Liste01[IstGestrichen]))*NOT(Liste01[[#This Row],[IstGestrichen]])</f>
        <v>1</v>
      </c>
      <c r="J36" s="9">
        <f t="array" ref="J36">MIN(SUMIFS(Liste01[Wahl],Liste01[Platz],Liste01[[#This Row],[Platz]]),3)</f>
        <v>0</v>
      </c>
      <c r="K36" s="9">
        <f>(Liste01[[#This Row],[Mult]]&gt;Liste01[[#This Row],[GülzST2]])*1*NOT(Liste01[[#This Row],[IstGestrichen]])</f>
        <v>1</v>
      </c>
      <c r="L36" s="9">
        <f>SUMIFS(Liste01[ListPot],Liste01[Platz],Liste01[[#This Row],[Platz]],Liste01[Mult],"&lt;="&amp;Liste01[[#This Row],[Mult]])+SUMIFS(Liste01[ListPot],Liste01[Platz],"&lt;"&amp;Liste01[[#This Row],[Platz]])*Liste01[[#This Row],[ListPot]]</f>
        <v>32</v>
      </c>
      <c r="M36" s="14">
        <f>IF(AND(NOT(ISBLANK(E$3)),Liste01[[#This Row],[ListPotKum]]&lt;=Reststimmen),Liste01[[#This Row],[ListPot]],0)</f>
        <v>0</v>
      </c>
      <c r="N36" s="4">
        <f>MIN(SUMIFS(Liste01[Wahl],Liste01[Platz],Liste01[[#This Row],[Platz]]),3)*(Liste01[[#This Row],[Mult]]=1)*StimmenzahlOk</f>
        <v>0</v>
      </c>
      <c r="O36" s="15">
        <f>SUMIFS(Liste01[ListVerg],Liste01[Platz],Liste01[[#This Row],[Platz]])*(Liste01[[#This Row],[Mult]]=1)*ListenkreuzeOk</f>
        <v>0</v>
      </c>
      <c r="P36" s="4">
        <f>Liste01[[#This Row],[Liste]]+Liste01[[#This Row],[Einzel]]</f>
        <v>0</v>
      </c>
      <c r="R36" s="42"/>
      <c r="S36" s="3">
        <v>232</v>
      </c>
      <c r="T36" s="37" t="s">
        <v>354</v>
      </c>
      <c r="U36" s="9" t="b">
        <f>AND((Liste02[[#This Row],[Wahl]]=0),LEN(Liste02[[#This Row],[Wahl]])=1)</f>
        <v>0</v>
      </c>
      <c r="V36" s="9">
        <f t="array" ref="V36">SUM((ROW(Liste02[Platz])&lt;=ROW())*(Liste02[Platz]=Liste02[[#This Row],[Platz]])*NOT(Liste02[IstGestrichen]))*NOT(Liste02[[#This Row],[IstGestrichen]])</f>
        <v>1</v>
      </c>
      <c r="W36" s="9">
        <f t="array" ref="W36">MIN(SUMIFS(Liste02[Wahl],Liste02[Platz],Liste02[[#This Row],[Platz]]),3)</f>
        <v>0</v>
      </c>
      <c r="X36" s="9">
        <f>(Liste02[[#This Row],[Mult]]&gt;Liste02[[#This Row],[GülzST2]])*1*NOT(Liste02[[#This Row],[IstGestrichen]])</f>
        <v>1</v>
      </c>
      <c r="Y36" s="9">
        <f>SUMIFS(Liste02[ListPot],Liste02[Platz],Liste02[[#This Row],[Platz]],Liste02[Mult],"&lt;="&amp;Liste02[[#This Row],[Mult]])+SUMIFS(Liste02[ListPot],Liste02[Platz],"&lt;"&amp;Liste02[[#This Row],[Platz]])*Liste02[[#This Row],[ListPot]]</f>
        <v>32</v>
      </c>
      <c r="Z36" s="14">
        <f>IF(AND(NOT(ISBLANK(R$3)),Liste02[[#This Row],[ListPotKum]]&lt;=Reststimmen),Liste02[[#This Row],[ListPot]],0)</f>
        <v>0</v>
      </c>
      <c r="AA36" s="4">
        <f>MIN(SUMIFS(Liste02[Wahl],Liste02[Platz],Liste02[[#This Row],[Platz]]),3)*(Liste02[[#This Row],[Mult]]=1)*StimmenzahlOk</f>
        <v>0</v>
      </c>
      <c r="AB36" s="15">
        <f>SUMIFS(Liste02[ListVerg],Liste02[Platz],Liste02[[#This Row],[Platz]])*(Liste02[[#This Row],[Mult]]=1)*ListenkreuzeOk</f>
        <v>0</v>
      </c>
      <c r="AC36" s="4">
        <f>Liste02[[#This Row],[Liste]]+Liste02[[#This Row],[Einzel]]</f>
        <v>0</v>
      </c>
      <c r="AE36" s="42"/>
      <c r="AF36" s="3">
        <v>332</v>
      </c>
      <c r="AG36" s="37" t="s">
        <v>404</v>
      </c>
      <c r="AH36" s="9" t="b">
        <f>AND((Liste03[[#This Row],[Wahl]]=0),LEN(Liste03[[#This Row],[Wahl]])=1)</f>
        <v>0</v>
      </c>
      <c r="AI36" s="9">
        <f t="array" ref="AI36">SUM((ROW(Liste03[Platz])&lt;=ROW())*(Liste03[Platz]=Liste03[[#This Row],[Platz]])*NOT(Liste03[IstGestrichen]))*NOT(Liste03[[#This Row],[IstGestrichen]])</f>
        <v>1</v>
      </c>
      <c r="AJ36" s="9">
        <f t="array" ref="AJ36">MIN(SUMIFS(Liste03[Wahl],Liste03[Platz],Liste03[[#This Row],[Platz]]),3)</f>
        <v>0</v>
      </c>
      <c r="AK36" s="9">
        <f>(Liste03[[#This Row],[Mult]]&gt;Liste03[[#This Row],[GülzST2]])*1*NOT(Liste03[[#This Row],[IstGestrichen]])</f>
        <v>1</v>
      </c>
      <c r="AL36" s="9">
        <f>SUMIFS(Liste03[ListPot],Liste03[Platz],Liste03[[#This Row],[Platz]],Liste03[Mult],"&lt;="&amp;Liste03[[#This Row],[Mult]])+SUMIFS(Liste03[ListPot],Liste03[Platz],"&lt;"&amp;Liste03[[#This Row],[Platz]])*Liste03[[#This Row],[ListPot]]</f>
        <v>32</v>
      </c>
      <c r="AM36" s="14">
        <f>IF(AND(NOT(ISBLANK(AE$3)),Liste03[[#This Row],[ListPotKum]]&lt;=Reststimmen),Liste03[[#This Row],[ListPot]],0)</f>
        <v>0</v>
      </c>
      <c r="AN36" s="4">
        <f>MIN(SUMIFS(Liste03[Wahl],Liste03[Platz],Liste03[[#This Row],[Platz]]),3)*(Liste03[[#This Row],[Mult]]=1)*StimmenzahlOk</f>
        <v>0</v>
      </c>
      <c r="AO36" s="15">
        <f>SUMIFS(Liste03[ListVerg],Liste03[Platz],Liste03[[#This Row],[Platz]])*(Liste03[[#This Row],[Mult]]=1)*ListenkreuzeOk</f>
        <v>0</v>
      </c>
      <c r="AP36" s="4">
        <f>Liste03[[#This Row],[Liste]]+Liste03[[#This Row],[Einzel]]</f>
        <v>0</v>
      </c>
      <c r="AR36" s="42"/>
      <c r="AS36" s="3"/>
      <c r="AT36" s="37"/>
      <c r="AU36" s="9" t="b">
        <f>AND((Liste04[[#This Row],[Wahl]]=0),LEN(Liste04[[#This Row],[Wahl]])=1)</f>
        <v>0</v>
      </c>
      <c r="AV36" s="9">
        <f t="array" ref="AV36">SUM((ROW(Liste04[Platz])&lt;=ROW())*(Liste04[Platz]=Liste04[[#This Row],[Platz]])*NOT(Liste04[IstGestrichen]))*NOT(Liste04[[#This Row],[IstGestrichen]])</f>
        <v>32</v>
      </c>
      <c r="AW36" s="9">
        <f t="array" ref="AW36">MIN(SUMIFS(Liste04[Wahl],Liste04[Platz],Liste04[[#This Row],[Platz]]),3)</f>
        <v>0</v>
      </c>
      <c r="AX36" s="9">
        <f>(Liste04[[#This Row],[Mult]]&gt;Liste04[[#This Row],[GülzST2]])*1*NOT(Liste04[[#This Row],[IstGestrichen]])</f>
        <v>1</v>
      </c>
      <c r="AY36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6" s="14">
        <f>IF(AND(NOT(ISBLANK(AR$3)),Liste04[[#This Row],[ListPotKum]]&lt;=Reststimmen),Liste04[[#This Row],[ListPot]],0)</f>
        <v>0</v>
      </c>
      <c r="BA36" s="4">
        <f>MIN(SUMIFS(Liste04[Wahl],Liste04[Platz],Liste04[[#This Row],[Platz]]),3)*(Liste04[[#This Row],[Mult]]=1)*StimmenzahlOk</f>
        <v>0</v>
      </c>
      <c r="BB36" s="15">
        <f>SUMIFS(Liste04[ListVerg],Liste04[Platz],Liste04[[#This Row],[Platz]])*(Liste04[[#This Row],[Mult]]=1)*ListenkreuzeOk</f>
        <v>0</v>
      </c>
      <c r="BC36" s="4">
        <f>Liste04[[#This Row],[Liste]]+Liste04[[#This Row],[Einzel]]</f>
        <v>0</v>
      </c>
      <c r="BE36" s="42"/>
      <c r="BF36" s="3">
        <v>532</v>
      </c>
      <c r="BG36" s="37" t="s">
        <v>456</v>
      </c>
      <c r="BH36" s="9" t="b">
        <f>AND((Liste05[[#This Row],[Wahl]]=0),LEN(Liste05[[#This Row],[Wahl]])=1)</f>
        <v>0</v>
      </c>
      <c r="BI36" s="9">
        <f t="array" ref="BI36">SUM((ROW(Liste05[Platz])&lt;=ROW())*(Liste05[Platz]=Liste05[[#This Row],[Platz]])*NOT(Liste05[IstGestrichen]))*NOT(Liste05[[#This Row],[IstGestrichen]])</f>
        <v>1</v>
      </c>
      <c r="BJ36" s="9">
        <f t="array" ref="BJ36">MIN(SUMIFS(Liste05[Wahl],Liste05[Platz],Liste05[[#This Row],[Platz]]),3)</f>
        <v>0</v>
      </c>
      <c r="BK36" s="9">
        <f>(Liste05[[#This Row],[Mult]]&gt;Liste05[[#This Row],[GülzST2]])*1*NOT(Liste05[[#This Row],[IstGestrichen]])</f>
        <v>1</v>
      </c>
      <c r="BL36" s="9">
        <f>SUMIFS(Liste05[ListPot],Liste05[Platz],Liste05[[#This Row],[Platz]],Liste05[Mult],"&lt;="&amp;Liste05[[#This Row],[Mult]])+SUMIFS(Liste05[ListPot],Liste05[Platz],"&lt;"&amp;Liste05[[#This Row],[Platz]])*Liste05[[#This Row],[ListPot]]</f>
        <v>32</v>
      </c>
      <c r="BM36" s="14">
        <f>IF(AND(NOT(ISBLANK(BE$3)),Liste05[[#This Row],[ListPotKum]]&lt;=Reststimmen),Liste05[[#This Row],[ListPot]],0)</f>
        <v>0</v>
      </c>
      <c r="BN36" s="4">
        <f>MIN(SUMIFS(Liste05[Wahl],Liste05[Platz],Liste05[[#This Row],[Platz]]),3)*(Liste05[[#This Row],[Mult]]=1)*StimmenzahlOk</f>
        <v>0</v>
      </c>
      <c r="BO36" s="15">
        <f>SUMIFS(Liste05[ListVerg],Liste05[Platz],Liste05[[#This Row],[Platz]])*(Liste05[[#This Row],[Mult]]=1)*ListenkreuzeOk</f>
        <v>0</v>
      </c>
      <c r="BP36" s="4">
        <f>Liste05[[#This Row],[Liste]]+Liste05[[#This Row],[Einzel]]</f>
        <v>0</v>
      </c>
      <c r="BR36" s="8"/>
      <c r="BS36" s="3"/>
      <c r="BT36" s="28"/>
      <c r="BU36" s="9" t="b">
        <f>AND((Liste06[[#This Row],[Spalte1]]=0),LEN(Liste06[[#This Row],[Spalte1]])=1)</f>
        <v>0</v>
      </c>
      <c r="BV36" s="9">
        <f t="array" ref="BV36">SUM((ROW(Liste06[Spalte2])&lt;=ROW())*(Liste06[Spalte2]=Liste06[[#This Row],[Spalte2]])*NOT(Liste06[IstGestrichen]))*NOT(Liste06[[#This Row],[IstGestrichen]])</f>
        <v>32</v>
      </c>
      <c r="BW36" s="9">
        <f t="array" ref="BW36">MIN(SUMIFS(Liste06[Spalte1],Liste06[Spalte2],Liste06[[#This Row],[Spalte2]]),3)</f>
        <v>0</v>
      </c>
      <c r="BX36" s="9">
        <f>(Liste06[[#This Row],[Mult]]&gt;Liste06[[#This Row],[GülzST2]])*1*NOT(Liste06[[#This Row],[IstGestrichen]])</f>
        <v>1</v>
      </c>
      <c r="BY36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6" s="9">
        <f>IF(AND(NOT(ISBLANK(BR$3)),Liste06[[#This Row],[ListPotKum]]&lt;=Reststimmen),Liste06[[#This Row],[ListPot]],0)</f>
        <v>0</v>
      </c>
      <c r="CA36" s="4">
        <f>MIN(SUMIFS(Liste06[Spalte1],Liste06[Spalte2],Liste06[[#This Row],[Spalte2]]),3)*(Liste06[[#This Row],[Mult]]=1)*StimmenzahlOk</f>
        <v>0</v>
      </c>
      <c r="CB36" s="4">
        <f>SUMIFS(Liste06[ListVerg],Liste06[Spalte2],Liste06[[#This Row],[Spalte2]])*(Liste06[[#This Row],[Mult]]=1)*ListenkreuzeOk</f>
        <v>0</v>
      </c>
      <c r="CC36" s="4">
        <f>Liste06[[#This Row],[Liste]]+Liste06[[#This Row],[Einzel]]</f>
        <v>0</v>
      </c>
      <c r="CE36" s="8"/>
      <c r="CF36" s="3">
        <v>732</v>
      </c>
      <c r="CG36" s="28" t="s">
        <v>506</v>
      </c>
      <c r="CH36" s="9" t="b">
        <f>AND((Liste07[[#This Row],[Wahl]]=0),LEN(Liste07[[#This Row],[Wahl]])=1)</f>
        <v>0</v>
      </c>
      <c r="CI36" s="9">
        <f t="array" ref="CI36">SUM((ROW(Liste07[Platz])&lt;=ROW())*(Liste07[Platz]=Liste07[[#This Row],[Platz]])*NOT(Liste07[IstGestrichen]))*NOT(Liste07[[#This Row],[IstGestrichen]])</f>
        <v>1</v>
      </c>
      <c r="CJ36" s="9">
        <f t="array" ref="CJ36">MIN(SUMIFS(Liste07[Wahl],Liste07[Platz],Liste07[[#This Row],[Platz]]),3)</f>
        <v>0</v>
      </c>
      <c r="CK36" s="9">
        <f>(Liste07[[#This Row],[Mult]]&gt;Liste07[[#This Row],[GülzST2]])*1*NOT(Liste07[[#This Row],[IstGestrichen]])</f>
        <v>1</v>
      </c>
      <c r="CL36" s="9">
        <f>SUMIFS(Liste07[ListPot],Liste07[Platz],Liste07[[#This Row],[Platz]],Liste07[Mult],"&lt;="&amp;Liste07[[#This Row],[Mult]])+SUMIFS(Liste07[ListPot],Liste07[Platz],"&lt;"&amp;Liste07[[#This Row],[Platz]])*Liste07[[#This Row],[ListPot]]</f>
        <v>32</v>
      </c>
      <c r="CM36" s="9">
        <f>IF(AND(NOT(ISBLANK(CE$3)),Liste07[[#This Row],[ListPotKum]]&lt;=Reststimmen),Liste07[[#This Row],[ListPot]],0)</f>
        <v>0</v>
      </c>
      <c r="CN36" s="4">
        <f>MIN(SUMIFS(Liste07[Wahl],Liste07[Platz],Liste07[[#This Row],[Platz]]),3)*(Liste07[[#This Row],[Mult]]=1)*StimmenzahlOk</f>
        <v>0</v>
      </c>
      <c r="CO36" s="4">
        <f>SUMIFS(Liste07[ListVerg],Liste07[Platz],Liste07[[#This Row],[Platz]])*(Liste07[[#This Row],[Mult]]=1)*ListenkreuzeOk</f>
        <v>0</v>
      </c>
      <c r="CP36" s="4">
        <f>Liste07[[#This Row],[Liste]]+Liste07[[#This Row],[Einzel]]</f>
        <v>0</v>
      </c>
      <c r="CR36" s="42"/>
      <c r="CS36" s="3">
        <v>832</v>
      </c>
      <c r="CT36" s="37" t="s">
        <v>557</v>
      </c>
      <c r="CU36" s="9" t="b">
        <f>AND((Liste08[[#This Row],[Wahl]]=0),LEN(Liste08[[#This Row],[Wahl]])=1)</f>
        <v>0</v>
      </c>
      <c r="CV36" s="9">
        <f t="array" ref="CV36">SUM((ROW(Liste08[Platz])&lt;=ROW())*(Liste08[Platz]=Liste08[[#This Row],[Platz]])*NOT(Liste08[IstGestrichen]))*NOT(Liste08[[#This Row],[IstGestrichen]])</f>
        <v>1</v>
      </c>
      <c r="CW36" s="9">
        <f t="array" ref="CW36">MIN(SUMIFS(Liste08[Wahl],Liste08[Platz],Liste08[[#This Row],[Platz]]),3)</f>
        <v>0</v>
      </c>
      <c r="CX36" s="9">
        <f>(Liste08[[#This Row],[Mult]]&gt;Liste08[[#This Row],[GülzST2]])*1*NOT(Liste08[[#This Row],[IstGestrichen]])</f>
        <v>1</v>
      </c>
      <c r="CY36" s="9">
        <f>SUMIFS(Liste08[ListPot],Liste08[Platz],Liste08[[#This Row],[Platz]],Liste08[Mult],"&lt;="&amp;Liste08[[#This Row],[Mult]])+SUMIFS(Liste08[ListPot],Liste08[Platz],"&lt;"&amp;Liste08[[#This Row],[Platz]])*Liste08[[#This Row],[ListPot]]</f>
        <v>32</v>
      </c>
      <c r="CZ36" s="14">
        <f>IF(AND(NOT(ISBLANK(CR$3)),Liste08[[#This Row],[ListPotKum]]&lt;=Reststimmen),Liste08[[#This Row],[ListPot]],0)</f>
        <v>0</v>
      </c>
      <c r="DA36" s="4">
        <f>MIN(SUMIFS(Liste08[Wahl],Liste08[Platz],Liste08[[#This Row],[Platz]]),3)*(Liste08[[#This Row],[Mult]]=1)*StimmenzahlOk</f>
        <v>0</v>
      </c>
      <c r="DB36" s="15">
        <f>SUMIFS(Liste08[ListVerg],Liste08[Platz],Liste08[[#This Row],[Platz]])*(Liste08[[#This Row],[Mult]]=1)*ListenkreuzeOk</f>
        <v>0</v>
      </c>
      <c r="DC36" s="4">
        <f>Liste08[[#This Row],[Liste]]+Liste08[[#This Row],[Einzel]]</f>
        <v>0</v>
      </c>
      <c r="DE36" s="8"/>
      <c r="DF36" s="3"/>
      <c r="DG36" s="28"/>
      <c r="DH36" s="9" t="b">
        <f>AND((Liste09[[#This Row],[Wahl]]=0),LEN(Liste09[[#This Row],[Wahl]])=1)</f>
        <v>0</v>
      </c>
      <c r="DI36" s="9">
        <f t="array" ref="DI36">SUM((ROW(Liste09[Platz])&lt;=ROW())*(Liste09[Platz]=Liste09[[#This Row],[Platz]])*NOT(Liste09[IstGestrichen]))*NOT(Liste09[[#This Row],[IstGestrichen]])</f>
        <v>32</v>
      </c>
      <c r="DJ36" s="9">
        <f t="array" ref="DJ36">MIN(SUMIFS(Liste09[Wahl],Liste09[Platz],Liste09[[#This Row],[Platz]]),3)</f>
        <v>0</v>
      </c>
      <c r="DK36" s="9">
        <f>(Liste09[[#This Row],[Mult]]&gt;Liste09[[#This Row],[GülzST2]])*1*NOT(Liste09[[#This Row],[IstGestrichen]])</f>
        <v>1</v>
      </c>
      <c r="DL36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6" s="9">
        <f>IF(AND(NOT(ISBLANK(DE$3)),Liste09[[#This Row],[ListPotKum]]&lt;=Reststimmen),Liste09[[#This Row],[ListPot]],0)</f>
        <v>0</v>
      </c>
      <c r="DN36" s="4">
        <f>MIN(SUMIFS(Liste09[Wahl],Liste09[Platz],Liste09[[#This Row],[Platz]]),3)*(Liste09[[#This Row],[Mult]]=1)*StimmenzahlOk</f>
        <v>0</v>
      </c>
      <c r="DO36" s="4">
        <f>SUMIFS(Liste09[ListVerg],Liste09[Platz],Liste09[[#This Row],[Platz]])*(Liste09[[#This Row],[Mult]]=1)*ListenkreuzeOk</f>
        <v>0</v>
      </c>
      <c r="DP36" s="4">
        <f>Liste09[[#This Row],[Liste]]+Liste09[[#This Row],[Einzel]]</f>
        <v>0</v>
      </c>
    </row>
    <row r="37" spans="1:120" ht="15.75" x14ac:dyDescent="0.25">
      <c r="A37" s="13" t="s">
        <v>15</v>
      </c>
      <c r="B37" s="21">
        <f>(VergebeneEinzelstimmen-GueltigeEinzelstimmen)*StimmenzahlOk</f>
        <v>0</v>
      </c>
      <c r="E37" s="42"/>
      <c r="F37" s="3">
        <v>133</v>
      </c>
      <c r="G37" s="2" t="s">
        <v>305</v>
      </c>
      <c r="H37" s="9" t="b">
        <f>AND((Liste01[[#This Row],[Wahl]]=0),LEN(Liste01[[#This Row],[Wahl]])=1)</f>
        <v>0</v>
      </c>
      <c r="I37" s="9">
        <f t="array" ref="I37">SUM((ROW(Liste01[Platz])&lt;=ROW())*(Liste01[Platz]=Liste01[[#This Row],[Platz]])*NOT(Liste01[IstGestrichen]))*NOT(Liste01[[#This Row],[IstGestrichen]])</f>
        <v>1</v>
      </c>
      <c r="J37" s="9">
        <f t="array" ref="J37">MIN(SUMIFS(Liste01[Wahl],Liste01[Platz],Liste01[[#This Row],[Platz]]),3)</f>
        <v>0</v>
      </c>
      <c r="K37" s="9">
        <f>(Liste01[[#This Row],[Mult]]&gt;Liste01[[#This Row],[GülzST2]])*1*NOT(Liste01[[#This Row],[IstGestrichen]])</f>
        <v>1</v>
      </c>
      <c r="L37" s="9">
        <f>SUMIFS(Liste01[ListPot],Liste01[Platz],Liste01[[#This Row],[Platz]],Liste01[Mult],"&lt;="&amp;Liste01[[#This Row],[Mult]])+SUMIFS(Liste01[ListPot],Liste01[Platz],"&lt;"&amp;Liste01[[#This Row],[Platz]])*Liste01[[#This Row],[ListPot]]</f>
        <v>33</v>
      </c>
      <c r="M37" s="14">
        <f>IF(AND(NOT(ISBLANK(E$3)),Liste01[[#This Row],[ListPotKum]]&lt;=Reststimmen),Liste01[[#This Row],[ListPot]],0)</f>
        <v>0</v>
      </c>
      <c r="N37" s="4">
        <f>MIN(SUMIFS(Liste01[Wahl],Liste01[Platz],Liste01[[#This Row],[Platz]]),3)*(Liste01[[#This Row],[Mult]]=1)*StimmenzahlOk</f>
        <v>0</v>
      </c>
      <c r="O37" s="15">
        <f>SUMIFS(Liste01[ListVerg],Liste01[Platz],Liste01[[#This Row],[Platz]])*(Liste01[[#This Row],[Mult]]=1)*ListenkreuzeOk</f>
        <v>0</v>
      </c>
      <c r="P37" s="4">
        <f>Liste01[[#This Row],[Liste]]+Liste01[[#This Row],[Einzel]]</f>
        <v>0</v>
      </c>
      <c r="R37" s="42"/>
      <c r="S37" s="3">
        <v>233</v>
      </c>
      <c r="T37" s="37" t="s">
        <v>355</v>
      </c>
      <c r="U37" s="9" t="b">
        <f>AND((Liste02[[#This Row],[Wahl]]=0),LEN(Liste02[[#This Row],[Wahl]])=1)</f>
        <v>0</v>
      </c>
      <c r="V37" s="9">
        <f t="array" ref="V37">SUM((ROW(Liste02[Platz])&lt;=ROW())*(Liste02[Platz]=Liste02[[#This Row],[Platz]])*NOT(Liste02[IstGestrichen]))*NOT(Liste02[[#This Row],[IstGestrichen]])</f>
        <v>1</v>
      </c>
      <c r="W37" s="9">
        <f t="array" ref="W37">MIN(SUMIFS(Liste02[Wahl],Liste02[Platz],Liste02[[#This Row],[Platz]]),3)</f>
        <v>0</v>
      </c>
      <c r="X37" s="9">
        <f>(Liste02[[#This Row],[Mult]]&gt;Liste02[[#This Row],[GülzST2]])*1*NOT(Liste02[[#This Row],[IstGestrichen]])</f>
        <v>1</v>
      </c>
      <c r="Y37" s="9">
        <f>SUMIFS(Liste02[ListPot],Liste02[Platz],Liste02[[#This Row],[Platz]],Liste02[Mult],"&lt;="&amp;Liste02[[#This Row],[Mult]])+SUMIFS(Liste02[ListPot],Liste02[Platz],"&lt;"&amp;Liste02[[#This Row],[Platz]])*Liste02[[#This Row],[ListPot]]</f>
        <v>33</v>
      </c>
      <c r="Z37" s="14">
        <f>IF(AND(NOT(ISBLANK(R$3)),Liste02[[#This Row],[ListPotKum]]&lt;=Reststimmen),Liste02[[#This Row],[ListPot]],0)</f>
        <v>0</v>
      </c>
      <c r="AA37" s="4">
        <f>MIN(SUMIFS(Liste02[Wahl],Liste02[Platz],Liste02[[#This Row],[Platz]]),3)*(Liste02[[#This Row],[Mult]]=1)*StimmenzahlOk</f>
        <v>0</v>
      </c>
      <c r="AB37" s="15">
        <f>SUMIFS(Liste02[ListVerg],Liste02[Platz],Liste02[[#This Row],[Platz]])*(Liste02[[#This Row],[Mult]]=1)*ListenkreuzeOk</f>
        <v>0</v>
      </c>
      <c r="AC37" s="4">
        <f>Liste02[[#This Row],[Liste]]+Liste02[[#This Row],[Einzel]]</f>
        <v>0</v>
      </c>
      <c r="AE37" s="42"/>
      <c r="AF37" s="3">
        <v>333</v>
      </c>
      <c r="AG37" s="37" t="s">
        <v>405</v>
      </c>
      <c r="AH37" s="9" t="b">
        <f>AND((Liste03[[#This Row],[Wahl]]=0),LEN(Liste03[[#This Row],[Wahl]])=1)</f>
        <v>0</v>
      </c>
      <c r="AI37" s="9">
        <f t="array" ref="AI37">SUM((ROW(Liste03[Platz])&lt;=ROW())*(Liste03[Platz]=Liste03[[#This Row],[Platz]])*NOT(Liste03[IstGestrichen]))*NOT(Liste03[[#This Row],[IstGestrichen]])</f>
        <v>1</v>
      </c>
      <c r="AJ37" s="9">
        <f t="array" ref="AJ37">MIN(SUMIFS(Liste03[Wahl],Liste03[Platz],Liste03[[#This Row],[Platz]]),3)</f>
        <v>0</v>
      </c>
      <c r="AK37" s="9">
        <f>(Liste03[[#This Row],[Mult]]&gt;Liste03[[#This Row],[GülzST2]])*1*NOT(Liste03[[#This Row],[IstGestrichen]])</f>
        <v>1</v>
      </c>
      <c r="AL37" s="9">
        <f>SUMIFS(Liste03[ListPot],Liste03[Platz],Liste03[[#This Row],[Platz]],Liste03[Mult],"&lt;="&amp;Liste03[[#This Row],[Mult]])+SUMIFS(Liste03[ListPot],Liste03[Platz],"&lt;"&amp;Liste03[[#This Row],[Platz]])*Liste03[[#This Row],[ListPot]]</f>
        <v>33</v>
      </c>
      <c r="AM37" s="14">
        <f>IF(AND(NOT(ISBLANK(AE$3)),Liste03[[#This Row],[ListPotKum]]&lt;=Reststimmen),Liste03[[#This Row],[ListPot]],0)</f>
        <v>0</v>
      </c>
      <c r="AN37" s="4">
        <f>MIN(SUMIFS(Liste03[Wahl],Liste03[Platz],Liste03[[#This Row],[Platz]]),3)*(Liste03[[#This Row],[Mult]]=1)*StimmenzahlOk</f>
        <v>0</v>
      </c>
      <c r="AO37" s="15">
        <f>SUMIFS(Liste03[ListVerg],Liste03[Platz],Liste03[[#This Row],[Platz]])*(Liste03[[#This Row],[Mult]]=1)*ListenkreuzeOk</f>
        <v>0</v>
      </c>
      <c r="AP37" s="4">
        <f>Liste03[[#This Row],[Liste]]+Liste03[[#This Row],[Einzel]]</f>
        <v>0</v>
      </c>
      <c r="AR37" s="42"/>
      <c r="AS37" s="3"/>
      <c r="AT37" s="37"/>
      <c r="AU37" s="9" t="b">
        <f>AND((Liste04[[#This Row],[Wahl]]=0),LEN(Liste04[[#This Row],[Wahl]])=1)</f>
        <v>0</v>
      </c>
      <c r="AV37" s="9">
        <f t="array" ref="AV37">SUM((ROW(Liste04[Platz])&lt;=ROW())*(Liste04[Platz]=Liste04[[#This Row],[Platz]])*NOT(Liste04[IstGestrichen]))*NOT(Liste04[[#This Row],[IstGestrichen]])</f>
        <v>33</v>
      </c>
      <c r="AW37" s="9">
        <f t="array" ref="AW37">MIN(SUMIFS(Liste04[Wahl],Liste04[Platz],Liste04[[#This Row],[Platz]]),3)</f>
        <v>0</v>
      </c>
      <c r="AX37" s="9">
        <f>(Liste04[[#This Row],[Mult]]&gt;Liste04[[#This Row],[GülzST2]])*1*NOT(Liste04[[#This Row],[IstGestrichen]])</f>
        <v>1</v>
      </c>
      <c r="AY37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7" s="14">
        <f>IF(AND(NOT(ISBLANK(AR$3)),Liste04[[#This Row],[ListPotKum]]&lt;=Reststimmen),Liste04[[#This Row],[ListPot]],0)</f>
        <v>0</v>
      </c>
      <c r="BA37" s="4">
        <f>MIN(SUMIFS(Liste04[Wahl],Liste04[Platz],Liste04[[#This Row],[Platz]]),3)*(Liste04[[#This Row],[Mult]]=1)*StimmenzahlOk</f>
        <v>0</v>
      </c>
      <c r="BB37" s="15">
        <f>SUMIFS(Liste04[ListVerg],Liste04[Platz],Liste04[[#This Row],[Platz]])*(Liste04[[#This Row],[Mult]]=1)*ListenkreuzeOk</f>
        <v>0</v>
      </c>
      <c r="BC37" s="4">
        <f>Liste04[[#This Row],[Liste]]+Liste04[[#This Row],[Einzel]]</f>
        <v>0</v>
      </c>
      <c r="BE37" s="42"/>
      <c r="BF37" s="3">
        <v>533</v>
      </c>
      <c r="BG37" s="37" t="s">
        <v>457</v>
      </c>
      <c r="BH37" s="9" t="b">
        <f>AND((Liste05[[#This Row],[Wahl]]=0),LEN(Liste05[[#This Row],[Wahl]])=1)</f>
        <v>0</v>
      </c>
      <c r="BI37" s="9">
        <f t="array" ref="BI37">SUM((ROW(Liste05[Platz])&lt;=ROW())*(Liste05[Platz]=Liste05[[#This Row],[Platz]])*NOT(Liste05[IstGestrichen]))*NOT(Liste05[[#This Row],[IstGestrichen]])</f>
        <v>1</v>
      </c>
      <c r="BJ37" s="9">
        <f t="array" ref="BJ37">MIN(SUMIFS(Liste05[Wahl],Liste05[Platz],Liste05[[#This Row],[Platz]]),3)</f>
        <v>0</v>
      </c>
      <c r="BK37" s="9">
        <f>(Liste05[[#This Row],[Mult]]&gt;Liste05[[#This Row],[GülzST2]])*1*NOT(Liste05[[#This Row],[IstGestrichen]])</f>
        <v>1</v>
      </c>
      <c r="BL37" s="9">
        <f>SUMIFS(Liste05[ListPot],Liste05[Platz],Liste05[[#This Row],[Platz]],Liste05[Mult],"&lt;="&amp;Liste05[[#This Row],[Mult]])+SUMIFS(Liste05[ListPot],Liste05[Platz],"&lt;"&amp;Liste05[[#This Row],[Platz]])*Liste05[[#This Row],[ListPot]]</f>
        <v>33</v>
      </c>
      <c r="BM37" s="14">
        <f>IF(AND(NOT(ISBLANK(BE$3)),Liste05[[#This Row],[ListPotKum]]&lt;=Reststimmen),Liste05[[#This Row],[ListPot]],0)</f>
        <v>0</v>
      </c>
      <c r="BN37" s="4">
        <f>MIN(SUMIFS(Liste05[Wahl],Liste05[Platz],Liste05[[#This Row],[Platz]]),3)*(Liste05[[#This Row],[Mult]]=1)*StimmenzahlOk</f>
        <v>0</v>
      </c>
      <c r="BO37" s="15">
        <f>SUMIFS(Liste05[ListVerg],Liste05[Platz],Liste05[[#This Row],[Platz]])*(Liste05[[#This Row],[Mult]]=1)*ListenkreuzeOk</f>
        <v>0</v>
      </c>
      <c r="BP37" s="4">
        <f>Liste05[[#This Row],[Liste]]+Liste05[[#This Row],[Einzel]]</f>
        <v>0</v>
      </c>
      <c r="BR37" s="8"/>
      <c r="BS37" s="3"/>
      <c r="BT37" s="28"/>
      <c r="BU37" s="9" t="b">
        <f>AND((Liste06[[#This Row],[Spalte1]]=0),LEN(Liste06[[#This Row],[Spalte1]])=1)</f>
        <v>0</v>
      </c>
      <c r="BV37" s="9">
        <f t="array" ref="BV37">SUM((ROW(Liste06[Spalte2])&lt;=ROW())*(Liste06[Spalte2]=Liste06[[#This Row],[Spalte2]])*NOT(Liste06[IstGestrichen]))*NOT(Liste06[[#This Row],[IstGestrichen]])</f>
        <v>33</v>
      </c>
      <c r="BW37" s="9">
        <f t="array" ref="BW37">MIN(SUMIFS(Liste06[Spalte1],Liste06[Spalte2],Liste06[[#This Row],[Spalte2]]),3)</f>
        <v>0</v>
      </c>
      <c r="BX37" s="9">
        <f>(Liste06[[#This Row],[Mult]]&gt;Liste06[[#This Row],[GülzST2]])*1*NOT(Liste06[[#This Row],[IstGestrichen]])</f>
        <v>1</v>
      </c>
      <c r="BY37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7" s="14">
        <f>IF(AND(NOT(ISBLANK(BR$3)),Liste06[[#This Row],[ListPotKum]]&lt;=Reststimmen),Liste06[[#This Row],[ListPot]],0)</f>
        <v>0</v>
      </c>
      <c r="CA37" s="4">
        <f>MIN(SUMIFS(Liste06[Spalte1],Liste06[Spalte2],Liste06[[#This Row],[Spalte2]]),3)*(Liste06[[#This Row],[Mult]]=1)*StimmenzahlOk</f>
        <v>0</v>
      </c>
      <c r="CB37" s="15">
        <f>SUMIFS(Liste06[ListVerg],Liste06[Spalte2],Liste06[[#This Row],[Spalte2]])*(Liste06[[#This Row],[Mult]]=1)*ListenkreuzeOk</f>
        <v>0</v>
      </c>
      <c r="CC37" s="4">
        <f>Liste06[[#This Row],[Liste]]+Liste06[[#This Row],[Einzel]]</f>
        <v>0</v>
      </c>
      <c r="CE37" s="8"/>
      <c r="CF37" s="3">
        <v>733</v>
      </c>
      <c r="CG37" s="28" t="s">
        <v>507</v>
      </c>
      <c r="CH37" s="9" t="b">
        <f>AND((Liste07[[#This Row],[Wahl]]=0),LEN(Liste07[[#This Row],[Wahl]])=1)</f>
        <v>0</v>
      </c>
      <c r="CI37" s="9">
        <f t="array" ref="CI37">SUM((ROW(Liste07[Platz])&lt;=ROW())*(Liste07[Platz]=Liste07[[#This Row],[Platz]])*NOT(Liste07[IstGestrichen]))*NOT(Liste07[[#This Row],[IstGestrichen]])</f>
        <v>1</v>
      </c>
      <c r="CJ37" s="9">
        <f t="array" ref="CJ37">MIN(SUMIFS(Liste07[Wahl],Liste07[Platz],Liste07[[#This Row],[Platz]]),3)</f>
        <v>0</v>
      </c>
      <c r="CK37" s="9">
        <f>(Liste07[[#This Row],[Mult]]&gt;Liste07[[#This Row],[GülzST2]])*1*NOT(Liste07[[#This Row],[IstGestrichen]])</f>
        <v>1</v>
      </c>
      <c r="CL37" s="9">
        <f>SUMIFS(Liste07[ListPot],Liste07[Platz],Liste07[[#This Row],[Platz]],Liste07[Mult],"&lt;="&amp;Liste07[[#This Row],[Mult]])+SUMIFS(Liste07[ListPot],Liste07[Platz],"&lt;"&amp;Liste07[[#This Row],[Platz]])*Liste07[[#This Row],[ListPot]]</f>
        <v>33</v>
      </c>
      <c r="CM37" s="14">
        <f>IF(AND(NOT(ISBLANK(CE$3)),Liste07[[#This Row],[ListPotKum]]&lt;=Reststimmen),Liste07[[#This Row],[ListPot]],0)</f>
        <v>0</v>
      </c>
      <c r="CN37" s="4">
        <f>MIN(SUMIFS(Liste07[Wahl],Liste07[Platz],Liste07[[#This Row],[Platz]]),3)*(Liste07[[#This Row],[Mult]]=1)*StimmenzahlOk</f>
        <v>0</v>
      </c>
      <c r="CO37" s="15">
        <f>SUMIFS(Liste07[ListVerg],Liste07[Platz],Liste07[[#This Row],[Platz]])*(Liste07[[#This Row],[Mult]]=1)*ListenkreuzeOk</f>
        <v>0</v>
      </c>
      <c r="CP37" s="4">
        <f>Liste07[[#This Row],[Liste]]+Liste07[[#This Row],[Einzel]]</f>
        <v>0</v>
      </c>
      <c r="CR37" s="42"/>
      <c r="CS37" s="3">
        <v>833</v>
      </c>
      <c r="CT37" s="37" t="s">
        <v>558</v>
      </c>
      <c r="CU37" s="9" t="b">
        <f>AND((Liste08[[#This Row],[Wahl]]=0),LEN(Liste08[[#This Row],[Wahl]])=1)</f>
        <v>0</v>
      </c>
      <c r="CV37" s="9">
        <f t="array" ref="CV37">SUM((ROW(Liste08[Platz])&lt;=ROW())*(Liste08[Platz]=Liste08[[#This Row],[Platz]])*NOT(Liste08[IstGestrichen]))*NOT(Liste08[[#This Row],[IstGestrichen]])</f>
        <v>1</v>
      </c>
      <c r="CW37" s="9">
        <f t="array" ref="CW37">MIN(SUMIFS(Liste08[Wahl],Liste08[Platz],Liste08[[#This Row],[Platz]]),3)</f>
        <v>0</v>
      </c>
      <c r="CX37" s="9">
        <f>(Liste08[[#This Row],[Mult]]&gt;Liste08[[#This Row],[GülzST2]])*1*NOT(Liste08[[#This Row],[IstGestrichen]])</f>
        <v>1</v>
      </c>
      <c r="CY37" s="9">
        <f>SUMIFS(Liste08[ListPot],Liste08[Platz],Liste08[[#This Row],[Platz]],Liste08[Mult],"&lt;="&amp;Liste08[[#This Row],[Mult]])+SUMIFS(Liste08[ListPot],Liste08[Platz],"&lt;"&amp;Liste08[[#This Row],[Platz]])*Liste08[[#This Row],[ListPot]]</f>
        <v>33</v>
      </c>
      <c r="CZ37" s="14">
        <f>IF(AND(NOT(ISBLANK(CR$3)),Liste08[[#This Row],[ListPotKum]]&lt;=Reststimmen),Liste08[[#This Row],[ListPot]],0)</f>
        <v>0</v>
      </c>
      <c r="DA37" s="4">
        <f>MIN(SUMIFS(Liste08[Wahl],Liste08[Platz],Liste08[[#This Row],[Platz]]),3)*(Liste08[[#This Row],[Mult]]=1)*StimmenzahlOk</f>
        <v>0</v>
      </c>
      <c r="DB37" s="15">
        <f>SUMIFS(Liste08[ListVerg],Liste08[Platz],Liste08[[#This Row],[Platz]])*(Liste08[[#This Row],[Mult]]=1)*ListenkreuzeOk</f>
        <v>0</v>
      </c>
      <c r="DC37" s="4">
        <f>Liste08[[#This Row],[Liste]]+Liste08[[#This Row],[Einzel]]</f>
        <v>0</v>
      </c>
      <c r="DE37" s="8"/>
      <c r="DF37" s="3"/>
      <c r="DG37" s="28"/>
      <c r="DH37" s="9" t="b">
        <f>AND((Liste09[[#This Row],[Wahl]]=0),LEN(Liste09[[#This Row],[Wahl]])=1)</f>
        <v>0</v>
      </c>
      <c r="DI37" s="9">
        <f t="array" ref="DI37">SUM((ROW(Liste09[Platz])&lt;=ROW())*(Liste09[Platz]=Liste09[[#This Row],[Platz]])*NOT(Liste09[IstGestrichen]))*NOT(Liste09[[#This Row],[IstGestrichen]])</f>
        <v>33</v>
      </c>
      <c r="DJ37" s="9">
        <f t="array" ref="DJ37">MIN(SUMIFS(Liste09[Wahl],Liste09[Platz],Liste09[[#This Row],[Platz]]),3)</f>
        <v>0</v>
      </c>
      <c r="DK37" s="9">
        <f>(Liste09[[#This Row],[Mult]]&gt;Liste09[[#This Row],[GülzST2]])*1*NOT(Liste09[[#This Row],[IstGestrichen]])</f>
        <v>1</v>
      </c>
      <c r="DL37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7" s="14">
        <f>IF(AND(NOT(ISBLANK(DE$3)),Liste09[[#This Row],[ListPotKum]]&lt;=Reststimmen),Liste09[[#This Row],[ListPot]],0)</f>
        <v>0</v>
      </c>
      <c r="DN37" s="4">
        <f>MIN(SUMIFS(Liste09[Wahl],Liste09[Platz],Liste09[[#This Row],[Platz]]),3)*(Liste09[[#This Row],[Mult]]=1)*StimmenzahlOk</f>
        <v>0</v>
      </c>
      <c r="DO37" s="15">
        <f>SUMIFS(Liste09[ListVerg],Liste09[Platz],Liste09[[#This Row],[Platz]])*(Liste09[[#This Row],[Mult]]=1)*ListenkreuzeOk</f>
        <v>0</v>
      </c>
      <c r="DP37" s="4">
        <f>Liste09[[#This Row],[Liste]]+Liste09[[#This Row],[Einzel]]</f>
        <v>0</v>
      </c>
    </row>
    <row r="38" spans="1:120" ht="15.75" x14ac:dyDescent="0.25">
      <c r="A38" s="13" t="s">
        <v>16</v>
      </c>
      <c r="B38" s="21">
        <f>(MaxStimmen-VergebeneEinzelstimmen)*StimmenzahlOk</f>
        <v>50</v>
      </c>
      <c r="E38" s="42"/>
      <c r="F38" s="3">
        <v>134</v>
      </c>
      <c r="G38" s="2" t="s">
        <v>306</v>
      </c>
      <c r="H38" s="9" t="b">
        <f>AND((Liste01[[#This Row],[Wahl]]=0),LEN(Liste01[[#This Row],[Wahl]])=1)</f>
        <v>0</v>
      </c>
      <c r="I38" s="9">
        <f t="array" ref="I38">SUM((ROW(Liste01[Platz])&lt;=ROW())*(Liste01[Platz]=Liste01[[#This Row],[Platz]])*NOT(Liste01[IstGestrichen]))*NOT(Liste01[[#This Row],[IstGestrichen]])</f>
        <v>1</v>
      </c>
      <c r="J38" s="9">
        <f t="array" ref="J38">MIN(SUMIFS(Liste01[Wahl],Liste01[Platz],Liste01[[#This Row],[Platz]]),3)</f>
        <v>0</v>
      </c>
      <c r="K38" s="9">
        <f>(Liste01[[#This Row],[Mult]]&gt;Liste01[[#This Row],[GülzST2]])*1*NOT(Liste01[[#This Row],[IstGestrichen]])</f>
        <v>1</v>
      </c>
      <c r="L38" s="9">
        <f>SUMIFS(Liste01[ListPot],Liste01[Platz],Liste01[[#This Row],[Platz]],Liste01[Mult],"&lt;="&amp;Liste01[[#This Row],[Mult]])+SUMIFS(Liste01[ListPot],Liste01[Platz],"&lt;"&amp;Liste01[[#This Row],[Platz]])*Liste01[[#This Row],[ListPot]]</f>
        <v>34</v>
      </c>
      <c r="M38" s="14">
        <f>IF(AND(NOT(ISBLANK(E$3)),Liste01[[#This Row],[ListPotKum]]&lt;=Reststimmen),Liste01[[#This Row],[ListPot]],0)</f>
        <v>0</v>
      </c>
      <c r="N38" s="4">
        <f>MIN(SUMIFS(Liste01[Wahl],Liste01[Platz],Liste01[[#This Row],[Platz]]),3)*(Liste01[[#This Row],[Mult]]=1)*StimmenzahlOk</f>
        <v>0</v>
      </c>
      <c r="O38" s="15">
        <f>SUMIFS(Liste01[ListVerg],Liste01[Platz],Liste01[[#This Row],[Platz]])*(Liste01[[#This Row],[Mult]]=1)*ListenkreuzeOk</f>
        <v>0</v>
      </c>
      <c r="P38" s="4">
        <f>Liste01[[#This Row],[Liste]]+Liste01[[#This Row],[Einzel]]</f>
        <v>0</v>
      </c>
      <c r="R38" s="42"/>
      <c r="S38" s="3">
        <v>234</v>
      </c>
      <c r="T38" s="37" t="s">
        <v>356</v>
      </c>
      <c r="U38" s="9" t="b">
        <f>AND((Liste02[[#This Row],[Wahl]]=0),LEN(Liste02[[#This Row],[Wahl]])=1)</f>
        <v>0</v>
      </c>
      <c r="V38" s="9">
        <f t="array" ref="V38">SUM((ROW(Liste02[Platz])&lt;=ROW())*(Liste02[Platz]=Liste02[[#This Row],[Platz]])*NOT(Liste02[IstGestrichen]))*NOT(Liste02[[#This Row],[IstGestrichen]])</f>
        <v>1</v>
      </c>
      <c r="W38" s="9">
        <f t="array" ref="W38">MIN(SUMIFS(Liste02[Wahl],Liste02[Platz],Liste02[[#This Row],[Platz]]),3)</f>
        <v>0</v>
      </c>
      <c r="X38" s="9">
        <f>(Liste02[[#This Row],[Mult]]&gt;Liste02[[#This Row],[GülzST2]])*1*NOT(Liste02[[#This Row],[IstGestrichen]])</f>
        <v>1</v>
      </c>
      <c r="Y38" s="9">
        <f>SUMIFS(Liste02[ListPot],Liste02[Platz],Liste02[[#This Row],[Platz]],Liste02[Mult],"&lt;="&amp;Liste02[[#This Row],[Mult]])+SUMIFS(Liste02[ListPot],Liste02[Platz],"&lt;"&amp;Liste02[[#This Row],[Platz]])*Liste02[[#This Row],[ListPot]]</f>
        <v>34</v>
      </c>
      <c r="Z38" s="14">
        <f>IF(AND(NOT(ISBLANK(R$3)),Liste02[[#This Row],[ListPotKum]]&lt;=Reststimmen),Liste02[[#This Row],[ListPot]],0)</f>
        <v>0</v>
      </c>
      <c r="AA38" s="4">
        <f>MIN(SUMIFS(Liste02[Wahl],Liste02[Platz],Liste02[[#This Row],[Platz]]),3)*(Liste02[[#This Row],[Mult]]=1)*StimmenzahlOk</f>
        <v>0</v>
      </c>
      <c r="AB38" s="15">
        <f>SUMIFS(Liste02[ListVerg],Liste02[Platz],Liste02[[#This Row],[Platz]])*(Liste02[[#This Row],[Mult]]=1)*ListenkreuzeOk</f>
        <v>0</v>
      </c>
      <c r="AC38" s="4">
        <f>Liste02[[#This Row],[Liste]]+Liste02[[#This Row],[Einzel]]</f>
        <v>0</v>
      </c>
      <c r="AE38" s="42"/>
      <c r="AF38" s="3">
        <v>334</v>
      </c>
      <c r="AG38" s="37" t="s">
        <v>406</v>
      </c>
      <c r="AH38" s="9" t="b">
        <f>AND((Liste03[[#This Row],[Wahl]]=0),LEN(Liste03[[#This Row],[Wahl]])=1)</f>
        <v>0</v>
      </c>
      <c r="AI38" s="9">
        <f t="array" ref="AI38">SUM((ROW(Liste03[Platz])&lt;=ROW())*(Liste03[Platz]=Liste03[[#This Row],[Platz]])*NOT(Liste03[IstGestrichen]))*NOT(Liste03[[#This Row],[IstGestrichen]])</f>
        <v>1</v>
      </c>
      <c r="AJ38" s="9">
        <f t="array" ref="AJ38">MIN(SUMIFS(Liste03[Wahl],Liste03[Platz],Liste03[[#This Row],[Platz]]),3)</f>
        <v>0</v>
      </c>
      <c r="AK38" s="9">
        <f>(Liste03[[#This Row],[Mult]]&gt;Liste03[[#This Row],[GülzST2]])*1*NOT(Liste03[[#This Row],[IstGestrichen]])</f>
        <v>1</v>
      </c>
      <c r="AL38" s="9">
        <f>SUMIFS(Liste03[ListPot],Liste03[Platz],Liste03[[#This Row],[Platz]],Liste03[Mult],"&lt;="&amp;Liste03[[#This Row],[Mult]])+SUMIFS(Liste03[ListPot],Liste03[Platz],"&lt;"&amp;Liste03[[#This Row],[Platz]])*Liste03[[#This Row],[ListPot]]</f>
        <v>34</v>
      </c>
      <c r="AM38" s="14">
        <f>IF(AND(NOT(ISBLANK(AE$3)),Liste03[[#This Row],[ListPotKum]]&lt;=Reststimmen),Liste03[[#This Row],[ListPot]],0)</f>
        <v>0</v>
      </c>
      <c r="AN38" s="4">
        <f>MIN(SUMIFS(Liste03[Wahl],Liste03[Platz],Liste03[[#This Row],[Platz]]),3)*(Liste03[[#This Row],[Mult]]=1)*StimmenzahlOk</f>
        <v>0</v>
      </c>
      <c r="AO38" s="15">
        <f>SUMIFS(Liste03[ListVerg],Liste03[Platz],Liste03[[#This Row],[Platz]])*(Liste03[[#This Row],[Mult]]=1)*ListenkreuzeOk</f>
        <v>0</v>
      </c>
      <c r="AP38" s="4">
        <f>Liste03[[#This Row],[Liste]]+Liste03[[#This Row],[Einzel]]</f>
        <v>0</v>
      </c>
      <c r="AR38" s="42"/>
      <c r="AS38" s="3"/>
      <c r="AT38" s="37"/>
      <c r="AU38" s="9" t="b">
        <f>AND((Liste04[[#This Row],[Wahl]]=0),LEN(Liste04[[#This Row],[Wahl]])=1)</f>
        <v>0</v>
      </c>
      <c r="AV38" s="9">
        <f t="array" ref="AV38">SUM((ROW(Liste04[Platz])&lt;=ROW())*(Liste04[Platz]=Liste04[[#This Row],[Platz]])*NOT(Liste04[IstGestrichen]))*NOT(Liste04[[#This Row],[IstGestrichen]])</f>
        <v>34</v>
      </c>
      <c r="AW38" s="9">
        <f t="array" ref="AW38">MIN(SUMIFS(Liste04[Wahl],Liste04[Platz],Liste04[[#This Row],[Platz]]),3)</f>
        <v>0</v>
      </c>
      <c r="AX38" s="9">
        <f>(Liste04[[#This Row],[Mult]]&gt;Liste04[[#This Row],[GülzST2]])*1*NOT(Liste04[[#This Row],[IstGestrichen]])</f>
        <v>1</v>
      </c>
      <c r="AY38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8" s="14">
        <f>IF(AND(NOT(ISBLANK(AR$3)),Liste04[[#This Row],[ListPotKum]]&lt;=Reststimmen),Liste04[[#This Row],[ListPot]],0)</f>
        <v>0</v>
      </c>
      <c r="BA38" s="4">
        <f>MIN(SUMIFS(Liste04[Wahl],Liste04[Platz],Liste04[[#This Row],[Platz]]),3)*(Liste04[[#This Row],[Mult]]=1)*StimmenzahlOk</f>
        <v>0</v>
      </c>
      <c r="BB38" s="15">
        <f>SUMIFS(Liste04[ListVerg],Liste04[Platz],Liste04[[#This Row],[Platz]])*(Liste04[[#This Row],[Mult]]=1)*ListenkreuzeOk</f>
        <v>0</v>
      </c>
      <c r="BC38" s="4">
        <f>Liste04[[#This Row],[Liste]]+Liste04[[#This Row],[Einzel]]</f>
        <v>0</v>
      </c>
      <c r="BE38" s="42"/>
      <c r="BF38" s="3">
        <v>534</v>
      </c>
      <c r="BG38" s="37" t="s">
        <v>458</v>
      </c>
      <c r="BH38" s="9" t="b">
        <f>AND((Liste05[[#This Row],[Wahl]]=0),LEN(Liste05[[#This Row],[Wahl]])=1)</f>
        <v>0</v>
      </c>
      <c r="BI38" s="9">
        <f t="array" ref="BI38">SUM((ROW(Liste05[Platz])&lt;=ROW())*(Liste05[Platz]=Liste05[[#This Row],[Platz]])*NOT(Liste05[IstGestrichen]))*NOT(Liste05[[#This Row],[IstGestrichen]])</f>
        <v>1</v>
      </c>
      <c r="BJ38" s="9">
        <f t="array" ref="BJ38">MIN(SUMIFS(Liste05[Wahl],Liste05[Platz],Liste05[[#This Row],[Platz]]),3)</f>
        <v>0</v>
      </c>
      <c r="BK38" s="9">
        <f>(Liste05[[#This Row],[Mult]]&gt;Liste05[[#This Row],[GülzST2]])*1*NOT(Liste05[[#This Row],[IstGestrichen]])</f>
        <v>1</v>
      </c>
      <c r="BL38" s="9">
        <f>SUMIFS(Liste05[ListPot],Liste05[Platz],Liste05[[#This Row],[Platz]],Liste05[Mult],"&lt;="&amp;Liste05[[#This Row],[Mult]])+SUMIFS(Liste05[ListPot],Liste05[Platz],"&lt;"&amp;Liste05[[#This Row],[Platz]])*Liste05[[#This Row],[ListPot]]</f>
        <v>34</v>
      </c>
      <c r="BM38" s="14">
        <f>IF(AND(NOT(ISBLANK(BE$3)),Liste05[[#This Row],[ListPotKum]]&lt;=Reststimmen),Liste05[[#This Row],[ListPot]],0)</f>
        <v>0</v>
      </c>
      <c r="BN38" s="4">
        <f>MIN(SUMIFS(Liste05[Wahl],Liste05[Platz],Liste05[[#This Row],[Platz]]),3)*(Liste05[[#This Row],[Mult]]=1)*StimmenzahlOk</f>
        <v>0</v>
      </c>
      <c r="BO38" s="15">
        <f>SUMIFS(Liste05[ListVerg],Liste05[Platz],Liste05[[#This Row],[Platz]])*(Liste05[[#This Row],[Mult]]=1)*ListenkreuzeOk</f>
        <v>0</v>
      </c>
      <c r="BP38" s="4">
        <f>Liste05[[#This Row],[Liste]]+Liste05[[#This Row],[Einzel]]</f>
        <v>0</v>
      </c>
      <c r="BR38" s="8"/>
      <c r="BS38" s="3"/>
      <c r="BT38" s="37"/>
      <c r="BU38" t="b">
        <f>AND((Liste06[[#This Row],[Spalte1]]=0),LEN(Liste06[[#This Row],[Spalte1]])=1)</f>
        <v>0</v>
      </c>
      <c r="BV38">
        <f t="array" ref="BV38">SUM((ROW(Liste06[Spalte2])&lt;=ROW())*(Liste06[Spalte2]=Liste06[[#This Row],[Spalte2]])*NOT(Liste06[IstGestrichen]))*NOT(Liste06[[#This Row],[IstGestrichen]])</f>
        <v>34</v>
      </c>
      <c r="BW38">
        <f t="array" ref="BW38">MIN(SUMIFS(Liste06[Spalte1],Liste06[Spalte2],Liste06[[#This Row],[Spalte2]]),3)</f>
        <v>0</v>
      </c>
      <c r="BX38">
        <f>(Liste06[[#This Row],[Mult]]&gt;Liste06[[#This Row],[GülzST2]])*1*NOT(Liste06[[#This Row],[IstGestrichen]])</f>
        <v>1</v>
      </c>
      <c r="BY38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8">
        <f>IF(AND(NOT(ISBLANK(BR$3)),Liste06[[#This Row],[ListPotKum]]&lt;=Reststimmen),Liste06[[#This Row],[ListPot]],0)</f>
        <v>0</v>
      </c>
      <c r="CA38" s="4">
        <f>MIN(SUMIFS(Liste06[Spalte1],Liste06[Spalte2],Liste06[[#This Row],[Spalte2]]),3)*(Liste06[[#This Row],[Mult]]=1)*StimmenzahlOk</f>
        <v>0</v>
      </c>
      <c r="CB38" s="4">
        <f>SUMIFS(Liste06[ListVerg],Liste06[Spalte2],Liste06[[#This Row],[Spalte2]])*(Liste06[[#This Row],[Mult]]=1)*ListenkreuzeOk</f>
        <v>0</v>
      </c>
      <c r="CC38" s="4">
        <f>Liste06[[#This Row],[Liste]]+Liste06[[#This Row],[Einzel]]</f>
        <v>0</v>
      </c>
      <c r="CE38" s="42"/>
      <c r="CF38" s="3">
        <v>734</v>
      </c>
      <c r="CG38" s="37" t="s">
        <v>508</v>
      </c>
      <c r="CH38" s="9" t="b">
        <f>AND((Liste07[[#This Row],[Wahl]]=0),LEN(Liste07[[#This Row],[Wahl]])=1)</f>
        <v>0</v>
      </c>
      <c r="CI38" s="9">
        <f t="array" ref="CI38">SUM((ROW(Liste07[Platz])&lt;=ROW())*(Liste07[Platz]=Liste07[[#This Row],[Platz]])*NOT(Liste07[IstGestrichen]))*NOT(Liste07[[#This Row],[IstGestrichen]])</f>
        <v>1</v>
      </c>
      <c r="CJ38" s="9">
        <f t="array" ref="CJ38">MIN(SUMIFS(Liste07[Wahl],Liste07[Platz],Liste07[[#This Row],[Platz]]),3)</f>
        <v>0</v>
      </c>
      <c r="CK38" s="9">
        <f>(Liste07[[#This Row],[Mult]]&gt;Liste07[[#This Row],[GülzST2]])*1*NOT(Liste07[[#This Row],[IstGestrichen]])</f>
        <v>1</v>
      </c>
      <c r="CL38" s="9">
        <f>SUMIFS(Liste07[ListPot],Liste07[Platz],Liste07[[#This Row],[Platz]],Liste07[Mult],"&lt;="&amp;Liste07[[#This Row],[Mult]])+SUMIFS(Liste07[ListPot],Liste07[Platz],"&lt;"&amp;Liste07[[#This Row],[Platz]])*Liste07[[#This Row],[ListPot]]</f>
        <v>34</v>
      </c>
      <c r="CM38" s="14">
        <f>IF(AND(NOT(ISBLANK(CE$3)),Liste07[[#This Row],[ListPotKum]]&lt;=Reststimmen),Liste07[[#This Row],[ListPot]],0)</f>
        <v>0</v>
      </c>
      <c r="CN38" s="4">
        <f>MIN(SUMIFS(Liste07[Wahl],Liste07[Platz],Liste07[[#This Row],[Platz]]),3)*(Liste07[[#This Row],[Mult]]=1)*StimmenzahlOk</f>
        <v>0</v>
      </c>
      <c r="CO38" s="15">
        <f>SUMIFS(Liste07[ListVerg],Liste07[Platz],Liste07[[#This Row],[Platz]])*(Liste07[[#This Row],[Mult]]=1)*ListenkreuzeOk</f>
        <v>0</v>
      </c>
      <c r="CP38" s="4">
        <f>Liste07[[#This Row],[Liste]]+Liste07[[#This Row],[Einzel]]</f>
        <v>0</v>
      </c>
      <c r="CR38" s="42"/>
      <c r="CS38" s="3">
        <v>834</v>
      </c>
      <c r="CT38" s="37" t="s">
        <v>559</v>
      </c>
      <c r="CU38" s="9" t="b">
        <f>AND((Liste08[[#This Row],[Wahl]]=0),LEN(Liste08[[#This Row],[Wahl]])=1)</f>
        <v>0</v>
      </c>
      <c r="CV38" s="9">
        <f t="array" ref="CV38">SUM((ROW(Liste08[Platz])&lt;=ROW())*(Liste08[Platz]=Liste08[[#This Row],[Platz]])*NOT(Liste08[IstGestrichen]))*NOT(Liste08[[#This Row],[IstGestrichen]])</f>
        <v>1</v>
      </c>
      <c r="CW38" s="9">
        <f t="array" ref="CW38">MIN(SUMIFS(Liste08[Wahl],Liste08[Platz],Liste08[[#This Row],[Platz]]),3)</f>
        <v>0</v>
      </c>
      <c r="CX38" s="9">
        <f>(Liste08[[#This Row],[Mult]]&gt;Liste08[[#This Row],[GülzST2]])*1*NOT(Liste08[[#This Row],[IstGestrichen]])</f>
        <v>1</v>
      </c>
      <c r="CY38" s="9">
        <f>SUMIFS(Liste08[ListPot],Liste08[Platz],Liste08[[#This Row],[Platz]],Liste08[Mult],"&lt;="&amp;Liste08[[#This Row],[Mult]])+SUMIFS(Liste08[ListPot],Liste08[Platz],"&lt;"&amp;Liste08[[#This Row],[Platz]])*Liste08[[#This Row],[ListPot]]</f>
        <v>34</v>
      </c>
      <c r="CZ38" s="14">
        <f>IF(AND(NOT(ISBLANK(CR$3)),Liste08[[#This Row],[ListPotKum]]&lt;=Reststimmen),Liste08[[#This Row],[ListPot]],0)</f>
        <v>0</v>
      </c>
      <c r="DA38" s="4">
        <f>MIN(SUMIFS(Liste08[Wahl],Liste08[Platz],Liste08[[#This Row],[Platz]]),3)*(Liste08[[#This Row],[Mult]]=1)*StimmenzahlOk</f>
        <v>0</v>
      </c>
      <c r="DB38" s="15">
        <f>SUMIFS(Liste08[ListVerg],Liste08[Platz],Liste08[[#This Row],[Platz]])*(Liste08[[#This Row],[Mult]]=1)*ListenkreuzeOk</f>
        <v>0</v>
      </c>
      <c r="DC38" s="4">
        <f>Liste08[[#This Row],[Liste]]+Liste08[[#This Row],[Einzel]]</f>
        <v>0</v>
      </c>
      <c r="DE38" s="8"/>
      <c r="DF38" s="3"/>
      <c r="DG38" s="28"/>
      <c r="DH38" t="b">
        <f>AND((Liste09[[#This Row],[Wahl]]=0),LEN(Liste09[[#This Row],[Wahl]])=1)</f>
        <v>0</v>
      </c>
      <c r="DI38">
        <f t="array" ref="DI38">SUM((ROW(Liste09[Platz])&lt;=ROW())*(Liste09[Platz]=Liste09[[#This Row],[Platz]])*NOT(Liste09[IstGestrichen]))*NOT(Liste09[[#This Row],[IstGestrichen]])</f>
        <v>34</v>
      </c>
      <c r="DJ38">
        <f t="array" ref="DJ38">MIN(SUMIFS(Liste09[Wahl],Liste09[Platz],Liste09[[#This Row],[Platz]]),3)</f>
        <v>0</v>
      </c>
      <c r="DK38">
        <f>(Liste09[[#This Row],[Mult]]&gt;Liste09[[#This Row],[GülzST2]])*1*NOT(Liste09[[#This Row],[IstGestrichen]])</f>
        <v>1</v>
      </c>
      <c r="DL38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8">
        <f>IF(AND(NOT(ISBLANK(DE$3)),Liste09[[#This Row],[ListPotKum]]&lt;=Reststimmen),Liste09[[#This Row],[ListPot]],0)</f>
        <v>0</v>
      </c>
      <c r="DN38" s="4">
        <f>MIN(SUMIFS(Liste09[Wahl],Liste09[Platz],Liste09[[#This Row],[Platz]]),3)*(Liste09[[#This Row],[Mult]]=1)*StimmenzahlOk</f>
        <v>0</v>
      </c>
      <c r="DO38" s="4">
        <f>SUMIFS(Liste09[ListVerg],Liste09[Platz],Liste09[[#This Row],[Platz]])*(Liste09[[#This Row],[Mult]]=1)*ListenkreuzeOk</f>
        <v>0</v>
      </c>
      <c r="DP38" s="4">
        <f>Liste09[[#This Row],[Liste]]+Liste09[[#This Row],[Einzel]]</f>
        <v>0</v>
      </c>
    </row>
    <row r="39" spans="1:120" ht="15.75" x14ac:dyDescent="0.25">
      <c r="A39" s="13" t="s">
        <v>22</v>
      </c>
      <c r="B39" s="21">
        <f>Liste01[[#Totals],[ListVerg]]+Liste02[[#Totals],[ListVerg]]+Liste03[[#Totals],[ListVerg]]+Liste04[[#Totals],[ListVerg]]+Liste05[[#Totals],[ListVerg]]+Liste06[[#Totals],[ListVerg]]+Liste07[[#Totals],[ListVerg]]+Liste08[[#Totals],[ListVerg]]+Liste09[[#Totals],[ListVerg]]</f>
        <v>0</v>
      </c>
      <c r="E39" s="42"/>
      <c r="F39" s="3">
        <v>135</v>
      </c>
      <c r="G39" s="2" t="s">
        <v>307</v>
      </c>
      <c r="H39" s="9" t="b">
        <f>AND((Liste01[[#This Row],[Wahl]]=0),LEN(Liste01[[#This Row],[Wahl]])=1)</f>
        <v>0</v>
      </c>
      <c r="I39" s="9">
        <f t="array" ref="I39">SUM((ROW(Liste01[Platz])&lt;=ROW())*(Liste01[Platz]=Liste01[[#This Row],[Platz]])*NOT(Liste01[IstGestrichen]))*NOT(Liste01[[#This Row],[IstGestrichen]])</f>
        <v>1</v>
      </c>
      <c r="J39" s="9">
        <f t="array" ref="J39">MIN(SUMIFS(Liste01[Wahl],Liste01[Platz],Liste01[[#This Row],[Platz]]),3)</f>
        <v>0</v>
      </c>
      <c r="K39" s="9">
        <f>(Liste01[[#This Row],[Mult]]&gt;Liste01[[#This Row],[GülzST2]])*1*NOT(Liste01[[#This Row],[IstGestrichen]])</f>
        <v>1</v>
      </c>
      <c r="L39" s="9">
        <f>SUMIFS(Liste01[ListPot],Liste01[Platz],Liste01[[#This Row],[Platz]],Liste01[Mult],"&lt;="&amp;Liste01[[#This Row],[Mult]])+SUMIFS(Liste01[ListPot],Liste01[Platz],"&lt;"&amp;Liste01[[#This Row],[Platz]])*Liste01[[#This Row],[ListPot]]</f>
        <v>35</v>
      </c>
      <c r="M39" s="14">
        <f>IF(AND(NOT(ISBLANK(E$3)),Liste01[[#This Row],[ListPotKum]]&lt;=Reststimmen),Liste01[[#This Row],[ListPot]],0)</f>
        <v>0</v>
      </c>
      <c r="N39" s="4">
        <f>MIN(SUMIFS(Liste01[Wahl],Liste01[Platz],Liste01[[#This Row],[Platz]]),3)*(Liste01[[#This Row],[Mult]]=1)*StimmenzahlOk</f>
        <v>0</v>
      </c>
      <c r="O39" s="15">
        <f>SUMIFS(Liste01[ListVerg],Liste01[Platz],Liste01[[#This Row],[Platz]])*(Liste01[[#This Row],[Mult]]=1)*ListenkreuzeOk</f>
        <v>0</v>
      </c>
      <c r="P39" s="4">
        <f>Liste01[[#This Row],[Liste]]+Liste01[[#This Row],[Einzel]]</f>
        <v>0</v>
      </c>
      <c r="R39" s="42"/>
      <c r="S39" s="3">
        <v>235</v>
      </c>
      <c r="T39" s="37" t="s">
        <v>357</v>
      </c>
      <c r="U39" s="9" t="b">
        <f>AND((Liste02[[#This Row],[Wahl]]=0),LEN(Liste02[[#This Row],[Wahl]])=1)</f>
        <v>0</v>
      </c>
      <c r="V39" s="9">
        <f t="array" ref="V39">SUM((ROW(Liste02[Platz])&lt;=ROW())*(Liste02[Platz]=Liste02[[#This Row],[Platz]])*NOT(Liste02[IstGestrichen]))*NOT(Liste02[[#This Row],[IstGestrichen]])</f>
        <v>1</v>
      </c>
      <c r="W39" s="9">
        <f t="array" ref="W39">MIN(SUMIFS(Liste02[Wahl],Liste02[Platz],Liste02[[#This Row],[Platz]]),3)</f>
        <v>0</v>
      </c>
      <c r="X39" s="9">
        <f>(Liste02[[#This Row],[Mult]]&gt;Liste02[[#This Row],[GülzST2]])*1*NOT(Liste02[[#This Row],[IstGestrichen]])</f>
        <v>1</v>
      </c>
      <c r="Y39" s="9">
        <f>SUMIFS(Liste02[ListPot],Liste02[Platz],Liste02[[#This Row],[Platz]],Liste02[Mult],"&lt;="&amp;Liste02[[#This Row],[Mult]])+SUMIFS(Liste02[ListPot],Liste02[Platz],"&lt;"&amp;Liste02[[#This Row],[Platz]])*Liste02[[#This Row],[ListPot]]</f>
        <v>35</v>
      </c>
      <c r="Z39" s="14">
        <f>IF(AND(NOT(ISBLANK(R$3)),Liste02[[#This Row],[ListPotKum]]&lt;=Reststimmen),Liste02[[#This Row],[ListPot]],0)</f>
        <v>0</v>
      </c>
      <c r="AA39" s="4">
        <f>MIN(SUMIFS(Liste02[Wahl],Liste02[Platz],Liste02[[#This Row],[Platz]]),3)*(Liste02[[#This Row],[Mult]]=1)*StimmenzahlOk</f>
        <v>0</v>
      </c>
      <c r="AB39" s="15">
        <f>SUMIFS(Liste02[ListVerg],Liste02[Platz],Liste02[[#This Row],[Platz]])*(Liste02[[#This Row],[Mult]]=1)*ListenkreuzeOk</f>
        <v>0</v>
      </c>
      <c r="AC39" s="4">
        <f>Liste02[[#This Row],[Liste]]+Liste02[[#This Row],[Einzel]]</f>
        <v>0</v>
      </c>
      <c r="AE39" s="42"/>
      <c r="AF39" s="3">
        <v>335</v>
      </c>
      <c r="AG39" s="37" t="s">
        <v>407</v>
      </c>
      <c r="AH39" s="9" t="b">
        <f>AND((Liste03[[#This Row],[Wahl]]=0),LEN(Liste03[[#This Row],[Wahl]])=1)</f>
        <v>0</v>
      </c>
      <c r="AI39" s="9">
        <f t="array" ref="AI39">SUM((ROW(Liste03[Platz])&lt;=ROW())*(Liste03[Platz]=Liste03[[#This Row],[Platz]])*NOT(Liste03[IstGestrichen]))*NOT(Liste03[[#This Row],[IstGestrichen]])</f>
        <v>1</v>
      </c>
      <c r="AJ39" s="9">
        <f t="array" ref="AJ39">MIN(SUMIFS(Liste03[Wahl],Liste03[Platz],Liste03[[#This Row],[Platz]]),3)</f>
        <v>0</v>
      </c>
      <c r="AK39" s="9">
        <f>(Liste03[[#This Row],[Mult]]&gt;Liste03[[#This Row],[GülzST2]])*1*NOT(Liste03[[#This Row],[IstGestrichen]])</f>
        <v>1</v>
      </c>
      <c r="AL39" s="9">
        <f>SUMIFS(Liste03[ListPot],Liste03[Platz],Liste03[[#This Row],[Platz]],Liste03[Mult],"&lt;="&amp;Liste03[[#This Row],[Mult]])+SUMIFS(Liste03[ListPot],Liste03[Platz],"&lt;"&amp;Liste03[[#This Row],[Platz]])*Liste03[[#This Row],[ListPot]]</f>
        <v>35</v>
      </c>
      <c r="AM39" s="14">
        <f>IF(AND(NOT(ISBLANK(AE$3)),Liste03[[#This Row],[ListPotKum]]&lt;=Reststimmen),Liste03[[#This Row],[ListPot]],0)</f>
        <v>0</v>
      </c>
      <c r="AN39" s="4">
        <f>MIN(SUMIFS(Liste03[Wahl],Liste03[Platz],Liste03[[#This Row],[Platz]]),3)*(Liste03[[#This Row],[Mult]]=1)*StimmenzahlOk</f>
        <v>0</v>
      </c>
      <c r="AO39" s="15">
        <f>SUMIFS(Liste03[ListVerg],Liste03[Platz],Liste03[[#This Row],[Platz]])*(Liste03[[#This Row],[Mult]]=1)*ListenkreuzeOk</f>
        <v>0</v>
      </c>
      <c r="AP39" s="4">
        <f>Liste03[[#This Row],[Liste]]+Liste03[[#This Row],[Einzel]]</f>
        <v>0</v>
      </c>
      <c r="AR39" s="42"/>
      <c r="AS39" s="3"/>
      <c r="AT39" s="37"/>
      <c r="AU39" s="9" t="b">
        <f>AND((Liste04[[#This Row],[Wahl]]=0),LEN(Liste04[[#This Row],[Wahl]])=1)</f>
        <v>0</v>
      </c>
      <c r="AV39" s="9">
        <f t="array" ref="AV39">SUM((ROW(Liste04[Platz])&lt;=ROW())*(Liste04[Platz]=Liste04[[#This Row],[Platz]])*NOT(Liste04[IstGestrichen]))*NOT(Liste04[[#This Row],[IstGestrichen]])</f>
        <v>35</v>
      </c>
      <c r="AW39" s="9">
        <f t="array" ref="AW39">MIN(SUMIFS(Liste04[Wahl],Liste04[Platz],Liste04[[#This Row],[Platz]]),3)</f>
        <v>0</v>
      </c>
      <c r="AX39" s="9">
        <f>(Liste04[[#This Row],[Mult]]&gt;Liste04[[#This Row],[GülzST2]])*1*NOT(Liste04[[#This Row],[IstGestrichen]])</f>
        <v>1</v>
      </c>
      <c r="AY39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39" s="14">
        <f>IF(AND(NOT(ISBLANK(AR$3)),Liste04[[#This Row],[ListPotKum]]&lt;=Reststimmen),Liste04[[#This Row],[ListPot]],0)</f>
        <v>0</v>
      </c>
      <c r="BA39" s="4">
        <f>MIN(SUMIFS(Liste04[Wahl],Liste04[Platz],Liste04[[#This Row],[Platz]]),3)*(Liste04[[#This Row],[Mult]]=1)*StimmenzahlOk</f>
        <v>0</v>
      </c>
      <c r="BB39" s="15">
        <f>SUMIFS(Liste04[ListVerg],Liste04[Platz],Liste04[[#This Row],[Platz]])*(Liste04[[#This Row],[Mult]]=1)*ListenkreuzeOk</f>
        <v>0</v>
      </c>
      <c r="BC39" s="4">
        <f>Liste04[[#This Row],[Liste]]+Liste04[[#This Row],[Einzel]]</f>
        <v>0</v>
      </c>
      <c r="BE39" s="42"/>
      <c r="BF39" s="3">
        <v>535</v>
      </c>
      <c r="BG39" s="37" t="s">
        <v>459</v>
      </c>
      <c r="BH39" s="9" t="b">
        <f>AND((Liste05[[#This Row],[Wahl]]=0),LEN(Liste05[[#This Row],[Wahl]])=1)</f>
        <v>0</v>
      </c>
      <c r="BI39" s="9">
        <f t="array" ref="BI39">SUM((ROW(Liste05[Platz])&lt;=ROW())*(Liste05[Platz]=Liste05[[#This Row],[Platz]])*NOT(Liste05[IstGestrichen]))*NOT(Liste05[[#This Row],[IstGestrichen]])</f>
        <v>1</v>
      </c>
      <c r="BJ39" s="9">
        <f t="array" ref="BJ39">MIN(SUMIFS(Liste05[Wahl],Liste05[Platz],Liste05[[#This Row],[Platz]]),3)</f>
        <v>0</v>
      </c>
      <c r="BK39" s="9">
        <f>(Liste05[[#This Row],[Mult]]&gt;Liste05[[#This Row],[GülzST2]])*1*NOT(Liste05[[#This Row],[IstGestrichen]])</f>
        <v>1</v>
      </c>
      <c r="BL39" s="9">
        <f>SUMIFS(Liste05[ListPot],Liste05[Platz],Liste05[[#This Row],[Platz]],Liste05[Mult],"&lt;="&amp;Liste05[[#This Row],[Mult]])+SUMIFS(Liste05[ListPot],Liste05[Platz],"&lt;"&amp;Liste05[[#This Row],[Platz]])*Liste05[[#This Row],[ListPot]]</f>
        <v>35</v>
      </c>
      <c r="BM39" s="14">
        <f>IF(AND(NOT(ISBLANK(BE$3)),Liste05[[#This Row],[ListPotKum]]&lt;=Reststimmen),Liste05[[#This Row],[ListPot]],0)</f>
        <v>0</v>
      </c>
      <c r="BN39" s="4">
        <f>MIN(SUMIFS(Liste05[Wahl],Liste05[Platz],Liste05[[#This Row],[Platz]]),3)*(Liste05[[#This Row],[Mult]]=1)*StimmenzahlOk</f>
        <v>0</v>
      </c>
      <c r="BO39" s="15">
        <f>SUMIFS(Liste05[ListVerg],Liste05[Platz],Liste05[[#This Row],[Platz]])*(Liste05[[#This Row],[Mult]]=1)*ListenkreuzeOk</f>
        <v>0</v>
      </c>
      <c r="BP39" s="4">
        <f>Liste05[[#This Row],[Liste]]+Liste05[[#This Row],[Einzel]]</f>
        <v>0</v>
      </c>
      <c r="BR39" s="8"/>
      <c r="BS39" s="3"/>
      <c r="BT39" s="28"/>
      <c r="BU39" s="9" t="b">
        <f>AND((Liste06[[#This Row],[Spalte1]]=0),LEN(Liste06[[#This Row],[Spalte1]])=1)</f>
        <v>0</v>
      </c>
      <c r="BV39" s="9">
        <f t="array" ref="BV39">SUM((ROW(Liste06[Spalte2])&lt;=ROW())*(Liste06[Spalte2]=Liste06[[#This Row],[Spalte2]])*NOT(Liste06[IstGestrichen]))*NOT(Liste06[[#This Row],[IstGestrichen]])</f>
        <v>35</v>
      </c>
      <c r="BW39" s="9">
        <f t="array" ref="BW39">MIN(SUMIFS(Liste06[Spalte1],Liste06[Spalte2],Liste06[[#This Row],[Spalte2]]),3)</f>
        <v>0</v>
      </c>
      <c r="BX39" s="9">
        <f>(Liste06[[#This Row],[Mult]]&gt;Liste06[[#This Row],[GülzST2]])*1*NOT(Liste06[[#This Row],[IstGestrichen]])</f>
        <v>1</v>
      </c>
      <c r="BY39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39" s="14">
        <f>IF(AND(NOT(ISBLANK(BR$3)),Liste06[[#This Row],[ListPotKum]]&lt;=Reststimmen),Liste06[[#This Row],[ListPot]],0)</f>
        <v>0</v>
      </c>
      <c r="CA39" s="4">
        <f>MIN(SUMIFS(Liste06[Spalte1],Liste06[Spalte2],Liste06[[#This Row],[Spalte2]]),3)*(Liste06[[#This Row],[Mult]]=1)*StimmenzahlOk</f>
        <v>0</v>
      </c>
      <c r="CB39" s="15">
        <f>SUMIFS(Liste06[ListVerg],Liste06[Spalte2],Liste06[[#This Row],[Spalte2]])*(Liste06[[#This Row],[Mult]]=1)*ListenkreuzeOk</f>
        <v>0</v>
      </c>
      <c r="CC39" s="4">
        <f>Liste06[[#This Row],[Liste]]+Liste06[[#This Row],[Einzel]]</f>
        <v>0</v>
      </c>
      <c r="CE39" s="42"/>
      <c r="CF39" s="3">
        <v>735</v>
      </c>
      <c r="CG39" s="37" t="s">
        <v>509</v>
      </c>
      <c r="CH39" s="9" t="b">
        <f>AND((Liste07[[#This Row],[Wahl]]=0),LEN(Liste07[[#This Row],[Wahl]])=1)</f>
        <v>0</v>
      </c>
      <c r="CI39" s="9">
        <f t="array" ref="CI39">SUM((ROW(Liste07[Platz])&lt;=ROW())*(Liste07[Platz]=Liste07[[#This Row],[Platz]])*NOT(Liste07[IstGestrichen]))*NOT(Liste07[[#This Row],[IstGestrichen]])</f>
        <v>1</v>
      </c>
      <c r="CJ39" s="9">
        <f t="array" ref="CJ39">MIN(SUMIFS(Liste07[Wahl],Liste07[Platz],Liste07[[#This Row],[Platz]]),3)</f>
        <v>0</v>
      </c>
      <c r="CK39" s="9">
        <f>(Liste07[[#This Row],[Mult]]&gt;Liste07[[#This Row],[GülzST2]])*1*NOT(Liste07[[#This Row],[IstGestrichen]])</f>
        <v>1</v>
      </c>
      <c r="CL39" s="9">
        <f>SUMIFS(Liste07[ListPot],Liste07[Platz],Liste07[[#This Row],[Platz]],Liste07[Mult],"&lt;="&amp;Liste07[[#This Row],[Mult]])+SUMIFS(Liste07[ListPot],Liste07[Platz],"&lt;"&amp;Liste07[[#This Row],[Platz]])*Liste07[[#This Row],[ListPot]]</f>
        <v>35</v>
      </c>
      <c r="CM39" s="14">
        <f>IF(AND(NOT(ISBLANK(CE$3)),Liste07[[#This Row],[ListPotKum]]&lt;=Reststimmen),Liste07[[#This Row],[ListPot]],0)</f>
        <v>0</v>
      </c>
      <c r="CN39" s="4">
        <f>MIN(SUMIFS(Liste07[Wahl],Liste07[Platz],Liste07[[#This Row],[Platz]]),3)*(Liste07[[#This Row],[Mult]]=1)*StimmenzahlOk</f>
        <v>0</v>
      </c>
      <c r="CO39" s="15">
        <f>SUMIFS(Liste07[ListVerg],Liste07[Platz],Liste07[[#This Row],[Platz]])*(Liste07[[#This Row],[Mult]]=1)*ListenkreuzeOk</f>
        <v>0</v>
      </c>
      <c r="CP39" s="4">
        <f>Liste07[[#This Row],[Liste]]+Liste07[[#This Row],[Einzel]]</f>
        <v>0</v>
      </c>
      <c r="CR39" s="42"/>
      <c r="CS39" s="3">
        <v>835</v>
      </c>
      <c r="CT39" s="37" t="s">
        <v>560</v>
      </c>
      <c r="CU39" s="9" t="b">
        <f>AND((Liste08[[#This Row],[Wahl]]=0),LEN(Liste08[[#This Row],[Wahl]])=1)</f>
        <v>0</v>
      </c>
      <c r="CV39" s="9">
        <f t="array" ref="CV39">SUM((ROW(Liste08[Platz])&lt;=ROW())*(Liste08[Platz]=Liste08[[#This Row],[Platz]])*NOT(Liste08[IstGestrichen]))*NOT(Liste08[[#This Row],[IstGestrichen]])</f>
        <v>1</v>
      </c>
      <c r="CW39" s="9">
        <f t="array" ref="CW39">MIN(SUMIFS(Liste08[Wahl],Liste08[Platz],Liste08[[#This Row],[Platz]]),3)</f>
        <v>0</v>
      </c>
      <c r="CX39" s="9">
        <f>(Liste08[[#This Row],[Mult]]&gt;Liste08[[#This Row],[GülzST2]])*1*NOT(Liste08[[#This Row],[IstGestrichen]])</f>
        <v>1</v>
      </c>
      <c r="CY39" s="9">
        <f>SUMIFS(Liste08[ListPot],Liste08[Platz],Liste08[[#This Row],[Platz]],Liste08[Mult],"&lt;="&amp;Liste08[[#This Row],[Mult]])+SUMIFS(Liste08[ListPot],Liste08[Platz],"&lt;"&amp;Liste08[[#This Row],[Platz]])*Liste08[[#This Row],[ListPot]]</f>
        <v>35</v>
      </c>
      <c r="CZ39" s="14">
        <f>IF(AND(NOT(ISBLANK(CR$3)),Liste08[[#This Row],[ListPotKum]]&lt;=Reststimmen),Liste08[[#This Row],[ListPot]],0)</f>
        <v>0</v>
      </c>
      <c r="DA39" s="4">
        <f>MIN(SUMIFS(Liste08[Wahl],Liste08[Platz],Liste08[[#This Row],[Platz]]),3)*(Liste08[[#This Row],[Mult]]=1)*StimmenzahlOk</f>
        <v>0</v>
      </c>
      <c r="DB39" s="15">
        <f>SUMIFS(Liste08[ListVerg],Liste08[Platz],Liste08[[#This Row],[Platz]])*(Liste08[[#This Row],[Mult]]=1)*ListenkreuzeOk</f>
        <v>0</v>
      </c>
      <c r="DC39" s="4">
        <f>Liste08[[#This Row],[Liste]]+Liste08[[#This Row],[Einzel]]</f>
        <v>0</v>
      </c>
      <c r="DE39" s="8"/>
      <c r="DF39" s="3"/>
      <c r="DG39" s="28"/>
      <c r="DH39" s="9" t="b">
        <f>AND((Liste09[[#This Row],[Wahl]]=0),LEN(Liste09[[#This Row],[Wahl]])=1)</f>
        <v>0</v>
      </c>
      <c r="DI39" s="9">
        <f t="array" ref="DI39">SUM((ROW(Liste09[Platz])&lt;=ROW())*(Liste09[Platz]=Liste09[[#This Row],[Platz]])*NOT(Liste09[IstGestrichen]))*NOT(Liste09[[#This Row],[IstGestrichen]])</f>
        <v>35</v>
      </c>
      <c r="DJ39" s="9">
        <f t="array" ref="DJ39">MIN(SUMIFS(Liste09[Wahl],Liste09[Platz],Liste09[[#This Row],[Platz]]),3)</f>
        <v>0</v>
      </c>
      <c r="DK39" s="9">
        <f>(Liste09[[#This Row],[Mult]]&gt;Liste09[[#This Row],[GülzST2]])*1*NOT(Liste09[[#This Row],[IstGestrichen]])</f>
        <v>1</v>
      </c>
      <c r="DL39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39" s="9">
        <f>IF(AND(NOT(ISBLANK(DE$3)),Liste09[[#This Row],[ListPotKum]]&lt;=Reststimmen),Liste09[[#This Row],[ListPot]],0)</f>
        <v>0</v>
      </c>
      <c r="DN39" s="4">
        <f>MIN(SUMIFS(Liste09[Wahl],Liste09[Platz],Liste09[[#This Row],[Platz]]),3)*(Liste09[[#This Row],[Mult]]=1)*StimmenzahlOk</f>
        <v>0</v>
      </c>
      <c r="DO39" s="4">
        <f>SUMIFS(Liste09[ListVerg],Liste09[Platz],Liste09[[#This Row],[Platz]])*(Liste09[[#This Row],[Mult]]=1)*ListenkreuzeOk</f>
        <v>0</v>
      </c>
      <c r="DP39" s="4">
        <f>Liste09[[#This Row],[Liste]]+Liste09[[#This Row],[Einzel]]</f>
        <v>0</v>
      </c>
    </row>
    <row r="40" spans="1:120" ht="15.75" x14ac:dyDescent="0.25">
      <c r="A40" s="13" t="s">
        <v>23</v>
      </c>
      <c r="B40" s="23" t="b">
        <f>AND((VergebeneListenstimmen&lt;=Reststimmen),StimmenzahlOk)</f>
        <v>1</v>
      </c>
      <c r="E40" s="42"/>
      <c r="F40" s="3">
        <v>136</v>
      </c>
      <c r="G40" s="2" t="s">
        <v>308</v>
      </c>
      <c r="H40" s="9" t="b">
        <f>AND((Liste01[[#This Row],[Wahl]]=0),LEN(Liste01[[#This Row],[Wahl]])=1)</f>
        <v>0</v>
      </c>
      <c r="I40" s="9">
        <f t="array" ref="I40">SUM((ROW(Liste01[Platz])&lt;=ROW())*(Liste01[Platz]=Liste01[[#This Row],[Platz]])*NOT(Liste01[IstGestrichen]))*NOT(Liste01[[#This Row],[IstGestrichen]])</f>
        <v>1</v>
      </c>
      <c r="J40" s="9">
        <f t="array" ref="J40">MIN(SUMIFS(Liste01[Wahl],Liste01[Platz],Liste01[[#This Row],[Platz]]),3)</f>
        <v>0</v>
      </c>
      <c r="K40" s="9">
        <f>(Liste01[[#This Row],[Mult]]&gt;Liste01[[#This Row],[GülzST2]])*1*NOT(Liste01[[#This Row],[IstGestrichen]])</f>
        <v>1</v>
      </c>
      <c r="L40" s="9">
        <f>SUMIFS(Liste01[ListPot],Liste01[Platz],Liste01[[#This Row],[Platz]],Liste01[Mult],"&lt;="&amp;Liste01[[#This Row],[Mult]])+SUMIFS(Liste01[ListPot],Liste01[Platz],"&lt;"&amp;Liste01[[#This Row],[Platz]])*Liste01[[#This Row],[ListPot]]</f>
        <v>36</v>
      </c>
      <c r="M40" s="14">
        <f>IF(AND(NOT(ISBLANK(E$3)),Liste01[[#This Row],[ListPotKum]]&lt;=Reststimmen),Liste01[[#This Row],[ListPot]],0)</f>
        <v>0</v>
      </c>
      <c r="N40" s="4">
        <f>MIN(SUMIFS(Liste01[Wahl],Liste01[Platz],Liste01[[#This Row],[Platz]]),3)*(Liste01[[#This Row],[Mult]]=1)*StimmenzahlOk</f>
        <v>0</v>
      </c>
      <c r="O40" s="15">
        <f>SUMIFS(Liste01[ListVerg],Liste01[Platz],Liste01[[#This Row],[Platz]])*(Liste01[[#This Row],[Mult]]=1)*ListenkreuzeOk</f>
        <v>0</v>
      </c>
      <c r="P40" s="4">
        <f>Liste01[[#This Row],[Liste]]+Liste01[[#This Row],[Einzel]]</f>
        <v>0</v>
      </c>
      <c r="R40" s="42"/>
      <c r="S40" s="3">
        <v>236</v>
      </c>
      <c r="T40" s="37" t="s">
        <v>358</v>
      </c>
      <c r="U40" s="9" t="b">
        <f>AND((Liste02[[#This Row],[Wahl]]=0),LEN(Liste02[[#This Row],[Wahl]])=1)</f>
        <v>0</v>
      </c>
      <c r="V40" s="9">
        <f t="array" ref="V40">SUM((ROW(Liste02[Platz])&lt;=ROW())*(Liste02[Platz]=Liste02[[#This Row],[Platz]])*NOT(Liste02[IstGestrichen]))*NOT(Liste02[[#This Row],[IstGestrichen]])</f>
        <v>1</v>
      </c>
      <c r="W40" s="9">
        <f t="array" ref="W40">MIN(SUMIFS(Liste02[Wahl],Liste02[Platz],Liste02[[#This Row],[Platz]]),3)</f>
        <v>0</v>
      </c>
      <c r="X40" s="9">
        <f>(Liste02[[#This Row],[Mult]]&gt;Liste02[[#This Row],[GülzST2]])*1*NOT(Liste02[[#This Row],[IstGestrichen]])</f>
        <v>1</v>
      </c>
      <c r="Y40" s="9">
        <f>SUMIFS(Liste02[ListPot],Liste02[Platz],Liste02[[#This Row],[Platz]],Liste02[Mult],"&lt;="&amp;Liste02[[#This Row],[Mult]])+SUMIFS(Liste02[ListPot],Liste02[Platz],"&lt;"&amp;Liste02[[#This Row],[Platz]])*Liste02[[#This Row],[ListPot]]</f>
        <v>36</v>
      </c>
      <c r="Z40" s="14">
        <f>IF(AND(NOT(ISBLANK(R$3)),Liste02[[#This Row],[ListPotKum]]&lt;=Reststimmen),Liste02[[#This Row],[ListPot]],0)</f>
        <v>0</v>
      </c>
      <c r="AA40" s="4">
        <f>MIN(SUMIFS(Liste02[Wahl],Liste02[Platz],Liste02[[#This Row],[Platz]]),3)*(Liste02[[#This Row],[Mult]]=1)*StimmenzahlOk</f>
        <v>0</v>
      </c>
      <c r="AB40" s="15">
        <f>SUMIFS(Liste02[ListVerg],Liste02[Platz],Liste02[[#This Row],[Platz]])*(Liste02[[#This Row],[Mult]]=1)*ListenkreuzeOk</f>
        <v>0</v>
      </c>
      <c r="AC40" s="4">
        <f>Liste02[[#This Row],[Liste]]+Liste02[[#This Row],[Einzel]]</f>
        <v>0</v>
      </c>
      <c r="AE40" s="42"/>
      <c r="AF40" s="3">
        <v>336</v>
      </c>
      <c r="AG40" s="37" t="s">
        <v>408</v>
      </c>
      <c r="AH40" s="9" t="b">
        <f>AND((Liste03[[#This Row],[Wahl]]=0),LEN(Liste03[[#This Row],[Wahl]])=1)</f>
        <v>0</v>
      </c>
      <c r="AI40" s="9">
        <f t="array" ref="AI40">SUM((ROW(Liste03[Platz])&lt;=ROW())*(Liste03[Platz]=Liste03[[#This Row],[Platz]])*NOT(Liste03[IstGestrichen]))*NOT(Liste03[[#This Row],[IstGestrichen]])</f>
        <v>1</v>
      </c>
      <c r="AJ40" s="9">
        <f t="array" ref="AJ40">MIN(SUMIFS(Liste03[Wahl],Liste03[Platz],Liste03[[#This Row],[Platz]]),3)</f>
        <v>0</v>
      </c>
      <c r="AK40" s="9">
        <f>(Liste03[[#This Row],[Mult]]&gt;Liste03[[#This Row],[GülzST2]])*1*NOT(Liste03[[#This Row],[IstGestrichen]])</f>
        <v>1</v>
      </c>
      <c r="AL40" s="9">
        <f>SUMIFS(Liste03[ListPot],Liste03[Platz],Liste03[[#This Row],[Platz]],Liste03[Mult],"&lt;="&amp;Liste03[[#This Row],[Mult]])+SUMIFS(Liste03[ListPot],Liste03[Platz],"&lt;"&amp;Liste03[[#This Row],[Platz]])*Liste03[[#This Row],[ListPot]]</f>
        <v>36</v>
      </c>
      <c r="AM40" s="14">
        <f>IF(AND(NOT(ISBLANK(AE$3)),Liste03[[#This Row],[ListPotKum]]&lt;=Reststimmen),Liste03[[#This Row],[ListPot]],0)</f>
        <v>0</v>
      </c>
      <c r="AN40" s="4">
        <f>MIN(SUMIFS(Liste03[Wahl],Liste03[Platz],Liste03[[#This Row],[Platz]]),3)*(Liste03[[#This Row],[Mult]]=1)*StimmenzahlOk</f>
        <v>0</v>
      </c>
      <c r="AO40" s="15">
        <f>SUMIFS(Liste03[ListVerg],Liste03[Platz],Liste03[[#This Row],[Platz]])*(Liste03[[#This Row],[Mult]]=1)*ListenkreuzeOk</f>
        <v>0</v>
      </c>
      <c r="AP40" s="4">
        <f>Liste03[[#This Row],[Liste]]+Liste03[[#This Row],[Einzel]]</f>
        <v>0</v>
      </c>
      <c r="AR40" s="42"/>
      <c r="AS40" s="3"/>
      <c r="AT40" s="37"/>
      <c r="AU40" s="9" t="b">
        <f>AND((Liste04[[#This Row],[Wahl]]=0),LEN(Liste04[[#This Row],[Wahl]])=1)</f>
        <v>0</v>
      </c>
      <c r="AV40" s="9">
        <f t="array" ref="AV40">SUM((ROW(Liste04[Platz])&lt;=ROW())*(Liste04[Platz]=Liste04[[#This Row],[Platz]])*NOT(Liste04[IstGestrichen]))*NOT(Liste04[[#This Row],[IstGestrichen]])</f>
        <v>36</v>
      </c>
      <c r="AW40" s="9">
        <f t="array" ref="AW40">MIN(SUMIFS(Liste04[Wahl],Liste04[Platz],Liste04[[#This Row],[Platz]]),3)</f>
        <v>0</v>
      </c>
      <c r="AX40" s="9">
        <f>(Liste04[[#This Row],[Mult]]&gt;Liste04[[#This Row],[GülzST2]])*1*NOT(Liste04[[#This Row],[IstGestrichen]])</f>
        <v>1</v>
      </c>
      <c r="AY40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0" s="14">
        <f>IF(AND(NOT(ISBLANK(AR$3)),Liste04[[#This Row],[ListPotKum]]&lt;=Reststimmen),Liste04[[#This Row],[ListPot]],0)</f>
        <v>0</v>
      </c>
      <c r="BA40" s="4">
        <f>MIN(SUMIFS(Liste04[Wahl],Liste04[Platz],Liste04[[#This Row],[Platz]]),3)*(Liste04[[#This Row],[Mult]]=1)*StimmenzahlOk</f>
        <v>0</v>
      </c>
      <c r="BB40" s="15">
        <f>SUMIFS(Liste04[ListVerg],Liste04[Platz],Liste04[[#This Row],[Platz]])*(Liste04[[#This Row],[Mult]]=1)*ListenkreuzeOk</f>
        <v>0</v>
      </c>
      <c r="BC40" s="4">
        <f>Liste04[[#This Row],[Liste]]+Liste04[[#This Row],[Einzel]]</f>
        <v>0</v>
      </c>
      <c r="BE40" s="42"/>
      <c r="BF40" s="3">
        <v>536</v>
      </c>
      <c r="BG40" s="37" t="s">
        <v>460</v>
      </c>
      <c r="BH40" s="9" t="b">
        <f>AND((Liste05[[#This Row],[Wahl]]=0),LEN(Liste05[[#This Row],[Wahl]])=1)</f>
        <v>0</v>
      </c>
      <c r="BI40" s="9">
        <f t="array" ref="BI40">SUM((ROW(Liste05[Platz])&lt;=ROW())*(Liste05[Platz]=Liste05[[#This Row],[Platz]])*NOT(Liste05[IstGestrichen]))*NOT(Liste05[[#This Row],[IstGestrichen]])</f>
        <v>1</v>
      </c>
      <c r="BJ40" s="9">
        <f t="array" ref="BJ40">MIN(SUMIFS(Liste05[Wahl],Liste05[Platz],Liste05[[#This Row],[Platz]]),3)</f>
        <v>0</v>
      </c>
      <c r="BK40" s="9">
        <f>(Liste05[[#This Row],[Mult]]&gt;Liste05[[#This Row],[GülzST2]])*1*NOT(Liste05[[#This Row],[IstGestrichen]])</f>
        <v>1</v>
      </c>
      <c r="BL40" s="9">
        <f>SUMIFS(Liste05[ListPot],Liste05[Platz],Liste05[[#This Row],[Platz]],Liste05[Mult],"&lt;="&amp;Liste05[[#This Row],[Mult]])+SUMIFS(Liste05[ListPot],Liste05[Platz],"&lt;"&amp;Liste05[[#This Row],[Platz]])*Liste05[[#This Row],[ListPot]]</f>
        <v>36</v>
      </c>
      <c r="BM40" s="14">
        <f>IF(AND(NOT(ISBLANK(BE$3)),Liste05[[#This Row],[ListPotKum]]&lt;=Reststimmen),Liste05[[#This Row],[ListPot]],0)</f>
        <v>0</v>
      </c>
      <c r="BN40" s="4">
        <f>MIN(SUMIFS(Liste05[Wahl],Liste05[Platz],Liste05[[#This Row],[Platz]]),3)*(Liste05[[#This Row],[Mult]]=1)*StimmenzahlOk</f>
        <v>0</v>
      </c>
      <c r="BO40" s="15">
        <f>SUMIFS(Liste05[ListVerg],Liste05[Platz],Liste05[[#This Row],[Platz]])*(Liste05[[#This Row],[Mult]]=1)*ListenkreuzeOk</f>
        <v>0</v>
      </c>
      <c r="BP40" s="4">
        <f>Liste05[[#This Row],[Liste]]+Liste05[[#This Row],[Einzel]]</f>
        <v>0</v>
      </c>
      <c r="BR40" s="8"/>
      <c r="BS40" s="3"/>
      <c r="BT40" s="28"/>
      <c r="BU40" s="9" t="b">
        <f>AND((Liste06[[#This Row],[Spalte1]]=0),LEN(Liste06[[#This Row],[Spalte1]])=1)</f>
        <v>0</v>
      </c>
      <c r="BV40" s="9">
        <f t="array" ref="BV40">SUM((ROW(Liste06[Spalte2])&lt;=ROW())*(Liste06[Spalte2]=Liste06[[#This Row],[Spalte2]])*NOT(Liste06[IstGestrichen]))*NOT(Liste06[[#This Row],[IstGestrichen]])</f>
        <v>36</v>
      </c>
      <c r="BW40" s="9">
        <f t="array" ref="BW40">MIN(SUMIFS(Liste06[Spalte1],Liste06[Spalte2],Liste06[[#This Row],[Spalte2]]),3)</f>
        <v>0</v>
      </c>
      <c r="BX40" s="9">
        <f>(Liste06[[#This Row],[Mult]]&gt;Liste06[[#This Row],[GülzST2]])*1*NOT(Liste06[[#This Row],[IstGestrichen]])</f>
        <v>1</v>
      </c>
      <c r="BY40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40" s="14">
        <f>IF(AND(NOT(ISBLANK(BR$3)),Liste06[[#This Row],[ListPotKum]]&lt;=Reststimmen),Liste06[[#This Row],[ListPot]],0)</f>
        <v>0</v>
      </c>
      <c r="CA40" s="4">
        <f>MIN(SUMIFS(Liste06[Spalte1],Liste06[Spalte2],Liste06[[#This Row],[Spalte2]]),3)*(Liste06[[#This Row],[Mult]]=1)*StimmenzahlOk</f>
        <v>0</v>
      </c>
      <c r="CB40" s="15">
        <f>SUMIFS(Liste06[ListVerg],Liste06[Spalte2],Liste06[[#This Row],[Spalte2]])*(Liste06[[#This Row],[Mult]]=1)*ListenkreuzeOk</f>
        <v>0</v>
      </c>
      <c r="CC40" s="4">
        <f>Liste06[[#This Row],[Liste]]+Liste06[[#This Row],[Einzel]]</f>
        <v>0</v>
      </c>
      <c r="CE40" s="42"/>
      <c r="CF40" s="3">
        <v>736</v>
      </c>
      <c r="CG40" s="37" t="s">
        <v>510</v>
      </c>
      <c r="CH40" s="9" t="b">
        <f>AND((Liste07[[#This Row],[Wahl]]=0),LEN(Liste07[[#This Row],[Wahl]])=1)</f>
        <v>0</v>
      </c>
      <c r="CI40" s="9">
        <f t="array" ref="CI40">SUM((ROW(Liste07[Platz])&lt;=ROW())*(Liste07[Platz]=Liste07[[#This Row],[Platz]])*NOT(Liste07[IstGestrichen]))*NOT(Liste07[[#This Row],[IstGestrichen]])</f>
        <v>1</v>
      </c>
      <c r="CJ40" s="9">
        <f t="array" ref="CJ40">MIN(SUMIFS(Liste07[Wahl],Liste07[Platz],Liste07[[#This Row],[Platz]]),3)</f>
        <v>0</v>
      </c>
      <c r="CK40" s="9">
        <f>(Liste07[[#This Row],[Mult]]&gt;Liste07[[#This Row],[GülzST2]])*1*NOT(Liste07[[#This Row],[IstGestrichen]])</f>
        <v>1</v>
      </c>
      <c r="CL40" s="9">
        <f>SUMIFS(Liste07[ListPot],Liste07[Platz],Liste07[[#This Row],[Platz]],Liste07[Mult],"&lt;="&amp;Liste07[[#This Row],[Mult]])+SUMIFS(Liste07[ListPot],Liste07[Platz],"&lt;"&amp;Liste07[[#This Row],[Platz]])*Liste07[[#This Row],[ListPot]]</f>
        <v>36</v>
      </c>
      <c r="CM40" s="14">
        <f>IF(AND(NOT(ISBLANK(CE$3)),Liste07[[#This Row],[ListPotKum]]&lt;=Reststimmen),Liste07[[#This Row],[ListPot]],0)</f>
        <v>0</v>
      </c>
      <c r="CN40" s="4">
        <f>MIN(SUMIFS(Liste07[Wahl],Liste07[Platz],Liste07[[#This Row],[Platz]]),3)*(Liste07[[#This Row],[Mult]]=1)*StimmenzahlOk</f>
        <v>0</v>
      </c>
      <c r="CO40" s="15">
        <f>SUMIFS(Liste07[ListVerg],Liste07[Platz],Liste07[[#This Row],[Platz]])*(Liste07[[#This Row],[Mult]]=1)*ListenkreuzeOk</f>
        <v>0</v>
      </c>
      <c r="CP40" s="4">
        <f>Liste07[[#This Row],[Liste]]+Liste07[[#This Row],[Einzel]]</f>
        <v>0</v>
      </c>
      <c r="CR40" s="42"/>
      <c r="CS40" s="3">
        <v>836</v>
      </c>
      <c r="CT40" s="37" t="s">
        <v>561</v>
      </c>
      <c r="CU40" s="9" t="b">
        <f>AND((Liste08[[#This Row],[Wahl]]=0),LEN(Liste08[[#This Row],[Wahl]])=1)</f>
        <v>0</v>
      </c>
      <c r="CV40" s="9">
        <f t="array" ref="CV40">SUM((ROW(Liste08[Platz])&lt;=ROW())*(Liste08[Platz]=Liste08[[#This Row],[Platz]])*NOT(Liste08[IstGestrichen]))*NOT(Liste08[[#This Row],[IstGestrichen]])</f>
        <v>1</v>
      </c>
      <c r="CW40" s="9">
        <f t="array" ref="CW40">MIN(SUMIFS(Liste08[Wahl],Liste08[Platz],Liste08[[#This Row],[Platz]]),3)</f>
        <v>0</v>
      </c>
      <c r="CX40" s="9">
        <f>(Liste08[[#This Row],[Mult]]&gt;Liste08[[#This Row],[GülzST2]])*1*NOT(Liste08[[#This Row],[IstGestrichen]])</f>
        <v>1</v>
      </c>
      <c r="CY40" s="9">
        <f>SUMIFS(Liste08[ListPot],Liste08[Platz],Liste08[[#This Row],[Platz]],Liste08[Mult],"&lt;="&amp;Liste08[[#This Row],[Mult]])+SUMIFS(Liste08[ListPot],Liste08[Platz],"&lt;"&amp;Liste08[[#This Row],[Platz]])*Liste08[[#This Row],[ListPot]]</f>
        <v>36</v>
      </c>
      <c r="CZ40" s="14">
        <f>IF(AND(NOT(ISBLANK(CR$3)),Liste08[[#This Row],[ListPotKum]]&lt;=Reststimmen),Liste08[[#This Row],[ListPot]],0)</f>
        <v>0</v>
      </c>
      <c r="DA40" s="4">
        <f>MIN(SUMIFS(Liste08[Wahl],Liste08[Platz],Liste08[[#This Row],[Platz]]),3)*(Liste08[[#This Row],[Mult]]=1)*StimmenzahlOk</f>
        <v>0</v>
      </c>
      <c r="DB40" s="15">
        <f>SUMIFS(Liste08[ListVerg],Liste08[Platz],Liste08[[#This Row],[Platz]])*(Liste08[[#This Row],[Mult]]=1)*ListenkreuzeOk</f>
        <v>0</v>
      </c>
      <c r="DC40" s="4">
        <f>Liste08[[#This Row],[Liste]]+Liste08[[#This Row],[Einzel]]</f>
        <v>0</v>
      </c>
      <c r="DE40" s="8"/>
      <c r="DF40" s="3"/>
      <c r="DG40" s="28"/>
      <c r="DH40" s="9" t="b">
        <f>AND((Liste09[[#This Row],[Wahl]]=0),LEN(Liste09[[#This Row],[Wahl]])=1)</f>
        <v>0</v>
      </c>
      <c r="DI40" s="9">
        <f t="array" ref="DI40">SUM((ROW(Liste09[Platz])&lt;=ROW())*(Liste09[Platz]=Liste09[[#This Row],[Platz]])*NOT(Liste09[IstGestrichen]))*NOT(Liste09[[#This Row],[IstGestrichen]])</f>
        <v>36</v>
      </c>
      <c r="DJ40" s="9">
        <f t="array" ref="DJ40">MIN(SUMIFS(Liste09[Wahl],Liste09[Platz],Liste09[[#This Row],[Platz]]),3)</f>
        <v>0</v>
      </c>
      <c r="DK40" s="9">
        <f>(Liste09[[#This Row],[Mult]]&gt;Liste09[[#This Row],[GülzST2]])*1*NOT(Liste09[[#This Row],[IstGestrichen]])</f>
        <v>1</v>
      </c>
      <c r="DL40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40" s="14">
        <f>IF(AND(NOT(ISBLANK(DE$3)),Liste09[[#This Row],[ListPotKum]]&lt;=Reststimmen),Liste09[[#This Row],[ListPot]],0)</f>
        <v>0</v>
      </c>
      <c r="DN40" s="4">
        <f>MIN(SUMIFS(Liste09[Wahl],Liste09[Platz],Liste09[[#This Row],[Platz]]),3)*(Liste09[[#This Row],[Mult]]=1)*StimmenzahlOk</f>
        <v>0</v>
      </c>
      <c r="DO40" s="15">
        <f>SUMIFS(Liste09[ListVerg],Liste09[Platz],Liste09[[#This Row],[Platz]])*(Liste09[[#This Row],[Mult]]=1)*ListenkreuzeOk</f>
        <v>0</v>
      </c>
      <c r="DP40" s="4">
        <f>Liste09[[#This Row],[Liste]]+Liste09[[#This Row],[Einzel]]</f>
        <v>0</v>
      </c>
    </row>
    <row r="41" spans="1:120" ht="15.75" x14ac:dyDescent="0.25">
      <c r="A41" s="13" t="s">
        <v>25</v>
      </c>
      <c r="B41" s="24">
        <f>GueltigeEinzelstimmen+IF(ListenkreuzeOk,VergebeneListenstimmen,0)</f>
        <v>0</v>
      </c>
      <c r="E41" s="42"/>
      <c r="F41" s="3">
        <v>137</v>
      </c>
      <c r="G41" s="2" t="s">
        <v>309</v>
      </c>
      <c r="H41" s="9" t="b">
        <f>AND((Liste01[[#This Row],[Wahl]]=0),LEN(Liste01[[#This Row],[Wahl]])=1)</f>
        <v>0</v>
      </c>
      <c r="I41" s="9">
        <f t="array" ref="I41">SUM((ROW(Liste01[Platz])&lt;=ROW())*(Liste01[Platz]=Liste01[[#This Row],[Platz]])*NOT(Liste01[IstGestrichen]))*NOT(Liste01[[#This Row],[IstGestrichen]])</f>
        <v>1</v>
      </c>
      <c r="J41" s="9">
        <f t="array" ref="J41">MIN(SUMIFS(Liste01[Wahl],Liste01[Platz],Liste01[[#This Row],[Platz]]),3)</f>
        <v>0</v>
      </c>
      <c r="K41" s="9">
        <f>(Liste01[[#This Row],[Mult]]&gt;Liste01[[#This Row],[GülzST2]])*1*NOT(Liste01[[#This Row],[IstGestrichen]])</f>
        <v>1</v>
      </c>
      <c r="L41" s="9">
        <f>SUMIFS(Liste01[ListPot],Liste01[Platz],Liste01[[#This Row],[Platz]],Liste01[Mult],"&lt;="&amp;Liste01[[#This Row],[Mult]])+SUMIFS(Liste01[ListPot],Liste01[Platz],"&lt;"&amp;Liste01[[#This Row],[Platz]])*Liste01[[#This Row],[ListPot]]</f>
        <v>37</v>
      </c>
      <c r="M41" s="14">
        <f>IF(AND(NOT(ISBLANK(E$3)),Liste01[[#This Row],[ListPotKum]]&lt;=Reststimmen),Liste01[[#This Row],[ListPot]],0)</f>
        <v>0</v>
      </c>
      <c r="N41" s="4">
        <f>MIN(SUMIFS(Liste01[Wahl],Liste01[Platz],Liste01[[#This Row],[Platz]]),3)*(Liste01[[#This Row],[Mult]]=1)*StimmenzahlOk</f>
        <v>0</v>
      </c>
      <c r="O41" s="15">
        <f>SUMIFS(Liste01[ListVerg],Liste01[Platz],Liste01[[#This Row],[Platz]])*(Liste01[[#This Row],[Mult]]=1)*ListenkreuzeOk</f>
        <v>0</v>
      </c>
      <c r="P41" s="4">
        <f>Liste01[[#This Row],[Liste]]+Liste01[[#This Row],[Einzel]]</f>
        <v>0</v>
      </c>
      <c r="R41" s="42"/>
      <c r="S41" s="3">
        <v>237</v>
      </c>
      <c r="T41" s="37" t="s">
        <v>359</v>
      </c>
      <c r="U41" s="9" t="b">
        <f>AND((Liste02[[#This Row],[Wahl]]=0),LEN(Liste02[[#This Row],[Wahl]])=1)</f>
        <v>0</v>
      </c>
      <c r="V41" s="9">
        <f t="array" ref="V41">SUM((ROW(Liste02[Platz])&lt;=ROW())*(Liste02[Platz]=Liste02[[#This Row],[Platz]])*NOT(Liste02[IstGestrichen]))*NOT(Liste02[[#This Row],[IstGestrichen]])</f>
        <v>1</v>
      </c>
      <c r="W41" s="9">
        <f t="array" ref="W41">MIN(SUMIFS(Liste02[Wahl],Liste02[Platz],Liste02[[#This Row],[Platz]]),3)</f>
        <v>0</v>
      </c>
      <c r="X41" s="9">
        <f>(Liste02[[#This Row],[Mult]]&gt;Liste02[[#This Row],[GülzST2]])*1*NOT(Liste02[[#This Row],[IstGestrichen]])</f>
        <v>1</v>
      </c>
      <c r="Y41" s="9">
        <f>SUMIFS(Liste02[ListPot],Liste02[Platz],Liste02[[#This Row],[Platz]],Liste02[Mult],"&lt;="&amp;Liste02[[#This Row],[Mult]])+SUMIFS(Liste02[ListPot],Liste02[Platz],"&lt;"&amp;Liste02[[#This Row],[Platz]])*Liste02[[#This Row],[ListPot]]</f>
        <v>37</v>
      </c>
      <c r="Z41" s="14">
        <f>IF(AND(NOT(ISBLANK(R$3)),Liste02[[#This Row],[ListPotKum]]&lt;=Reststimmen),Liste02[[#This Row],[ListPot]],0)</f>
        <v>0</v>
      </c>
      <c r="AA41" s="4">
        <f>MIN(SUMIFS(Liste02[Wahl],Liste02[Platz],Liste02[[#This Row],[Platz]]),3)*(Liste02[[#This Row],[Mult]]=1)*StimmenzahlOk</f>
        <v>0</v>
      </c>
      <c r="AB41" s="15">
        <f>SUMIFS(Liste02[ListVerg],Liste02[Platz],Liste02[[#This Row],[Platz]])*(Liste02[[#This Row],[Mult]]=1)*ListenkreuzeOk</f>
        <v>0</v>
      </c>
      <c r="AC41" s="4">
        <f>Liste02[[#This Row],[Liste]]+Liste02[[#This Row],[Einzel]]</f>
        <v>0</v>
      </c>
      <c r="AE41" s="42"/>
      <c r="AF41" s="3">
        <v>337</v>
      </c>
      <c r="AG41" s="37" t="s">
        <v>409</v>
      </c>
      <c r="AH41" s="9" t="b">
        <f>AND((Liste03[[#This Row],[Wahl]]=0),LEN(Liste03[[#This Row],[Wahl]])=1)</f>
        <v>0</v>
      </c>
      <c r="AI41" s="9">
        <f t="array" ref="AI41">SUM((ROW(Liste03[Platz])&lt;=ROW())*(Liste03[Platz]=Liste03[[#This Row],[Platz]])*NOT(Liste03[IstGestrichen]))*NOT(Liste03[[#This Row],[IstGestrichen]])</f>
        <v>1</v>
      </c>
      <c r="AJ41" s="9">
        <f t="array" ref="AJ41">MIN(SUMIFS(Liste03[Wahl],Liste03[Platz],Liste03[[#This Row],[Platz]]),3)</f>
        <v>0</v>
      </c>
      <c r="AK41" s="9">
        <f>(Liste03[[#This Row],[Mult]]&gt;Liste03[[#This Row],[GülzST2]])*1*NOT(Liste03[[#This Row],[IstGestrichen]])</f>
        <v>1</v>
      </c>
      <c r="AL41" s="9">
        <f>SUMIFS(Liste03[ListPot],Liste03[Platz],Liste03[[#This Row],[Platz]],Liste03[Mult],"&lt;="&amp;Liste03[[#This Row],[Mult]])+SUMIFS(Liste03[ListPot],Liste03[Platz],"&lt;"&amp;Liste03[[#This Row],[Platz]])*Liste03[[#This Row],[ListPot]]</f>
        <v>37</v>
      </c>
      <c r="AM41" s="14">
        <f>IF(AND(NOT(ISBLANK(AE$3)),Liste03[[#This Row],[ListPotKum]]&lt;=Reststimmen),Liste03[[#This Row],[ListPot]],0)</f>
        <v>0</v>
      </c>
      <c r="AN41" s="4">
        <f>MIN(SUMIFS(Liste03[Wahl],Liste03[Platz],Liste03[[#This Row],[Platz]]),3)*(Liste03[[#This Row],[Mult]]=1)*StimmenzahlOk</f>
        <v>0</v>
      </c>
      <c r="AO41" s="15">
        <f>SUMIFS(Liste03[ListVerg],Liste03[Platz],Liste03[[#This Row],[Platz]])*(Liste03[[#This Row],[Mult]]=1)*ListenkreuzeOk</f>
        <v>0</v>
      </c>
      <c r="AP41" s="4">
        <f>Liste03[[#This Row],[Liste]]+Liste03[[#This Row],[Einzel]]</f>
        <v>0</v>
      </c>
      <c r="AR41" s="42"/>
      <c r="AS41" s="3"/>
      <c r="AT41" s="37"/>
      <c r="AU41" s="9" t="b">
        <f>AND((Liste04[[#This Row],[Wahl]]=0),LEN(Liste04[[#This Row],[Wahl]])=1)</f>
        <v>0</v>
      </c>
      <c r="AV41" s="9">
        <f t="array" ref="AV41">SUM((ROW(Liste04[Platz])&lt;=ROW())*(Liste04[Platz]=Liste04[[#This Row],[Platz]])*NOT(Liste04[IstGestrichen]))*NOT(Liste04[[#This Row],[IstGestrichen]])</f>
        <v>37</v>
      </c>
      <c r="AW41" s="9">
        <f t="array" ref="AW41">MIN(SUMIFS(Liste04[Wahl],Liste04[Platz],Liste04[[#This Row],[Platz]]),3)</f>
        <v>0</v>
      </c>
      <c r="AX41" s="9">
        <f>(Liste04[[#This Row],[Mult]]&gt;Liste04[[#This Row],[GülzST2]])*1*NOT(Liste04[[#This Row],[IstGestrichen]])</f>
        <v>1</v>
      </c>
      <c r="AY41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1" s="14">
        <f>IF(AND(NOT(ISBLANK(AR$3)),Liste04[[#This Row],[ListPotKum]]&lt;=Reststimmen),Liste04[[#This Row],[ListPot]],0)</f>
        <v>0</v>
      </c>
      <c r="BA41" s="4">
        <f>MIN(SUMIFS(Liste04[Wahl],Liste04[Platz],Liste04[[#This Row],[Platz]]),3)*(Liste04[[#This Row],[Mult]]=1)*StimmenzahlOk</f>
        <v>0</v>
      </c>
      <c r="BB41" s="15">
        <f>SUMIFS(Liste04[ListVerg],Liste04[Platz],Liste04[[#This Row],[Platz]])*(Liste04[[#This Row],[Mult]]=1)*ListenkreuzeOk</f>
        <v>0</v>
      </c>
      <c r="BC41" s="4">
        <f>Liste04[[#This Row],[Liste]]+Liste04[[#This Row],[Einzel]]</f>
        <v>0</v>
      </c>
      <c r="BE41" s="42"/>
      <c r="BF41" s="3">
        <v>537</v>
      </c>
      <c r="BG41" s="37" t="s">
        <v>461</v>
      </c>
      <c r="BH41" s="9" t="b">
        <f>AND((Liste05[[#This Row],[Wahl]]=0),LEN(Liste05[[#This Row],[Wahl]])=1)</f>
        <v>0</v>
      </c>
      <c r="BI41" s="9">
        <f t="array" ref="BI41">SUM((ROW(Liste05[Platz])&lt;=ROW())*(Liste05[Platz]=Liste05[[#This Row],[Platz]])*NOT(Liste05[IstGestrichen]))*NOT(Liste05[[#This Row],[IstGestrichen]])</f>
        <v>1</v>
      </c>
      <c r="BJ41" s="9">
        <f t="array" ref="BJ41">MIN(SUMIFS(Liste05[Wahl],Liste05[Platz],Liste05[[#This Row],[Platz]]),3)</f>
        <v>0</v>
      </c>
      <c r="BK41" s="9">
        <f>(Liste05[[#This Row],[Mult]]&gt;Liste05[[#This Row],[GülzST2]])*1*NOT(Liste05[[#This Row],[IstGestrichen]])</f>
        <v>1</v>
      </c>
      <c r="BL41" s="9">
        <f>SUMIFS(Liste05[ListPot],Liste05[Platz],Liste05[[#This Row],[Platz]],Liste05[Mult],"&lt;="&amp;Liste05[[#This Row],[Mult]])+SUMIFS(Liste05[ListPot],Liste05[Platz],"&lt;"&amp;Liste05[[#This Row],[Platz]])*Liste05[[#This Row],[ListPot]]</f>
        <v>37</v>
      </c>
      <c r="BM41" s="14">
        <f>IF(AND(NOT(ISBLANK(BE$3)),Liste05[[#This Row],[ListPotKum]]&lt;=Reststimmen),Liste05[[#This Row],[ListPot]],0)</f>
        <v>0</v>
      </c>
      <c r="BN41" s="4">
        <f>MIN(SUMIFS(Liste05[Wahl],Liste05[Platz],Liste05[[#This Row],[Platz]]),3)*(Liste05[[#This Row],[Mult]]=1)*StimmenzahlOk</f>
        <v>0</v>
      </c>
      <c r="BO41" s="15">
        <f>SUMIFS(Liste05[ListVerg],Liste05[Platz],Liste05[[#This Row],[Platz]])*(Liste05[[#This Row],[Mult]]=1)*ListenkreuzeOk</f>
        <v>0</v>
      </c>
      <c r="BP41" s="4">
        <f>Liste05[[#This Row],[Liste]]+Liste05[[#This Row],[Einzel]]</f>
        <v>0</v>
      </c>
      <c r="BR41" s="8"/>
      <c r="BS41" s="3"/>
      <c r="BT41" s="37"/>
      <c r="BU41" t="b">
        <f>AND((Liste06[[#This Row],[Spalte1]]=0),LEN(Liste06[[#This Row],[Spalte1]])=1)</f>
        <v>0</v>
      </c>
      <c r="BV41">
        <f t="array" ref="BV41">SUM((ROW(Liste06[Spalte2])&lt;=ROW())*(Liste06[Spalte2]=Liste06[[#This Row],[Spalte2]])*NOT(Liste06[IstGestrichen]))*NOT(Liste06[[#This Row],[IstGestrichen]])</f>
        <v>37</v>
      </c>
      <c r="BW41">
        <f t="array" ref="BW41">MIN(SUMIFS(Liste06[Spalte1],Liste06[Spalte2],Liste06[[#This Row],[Spalte2]]),3)</f>
        <v>0</v>
      </c>
      <c r="BX41">
        <f>(Liste06[[#This Row],[Mult]]&gt;Liste06[[#This Row],[GülzST2]])*1*NOT(Liste06[[#This Row],[IstGestrichen]])</f>
        <v>1</v>
      </c>
      <c r="BY41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41">
        <f>IF(AND(NOT(ISBLANK(BR$3)),Liste06[[#This Row],[ListPotKum]]&lt;=Reststimmen),Liste06[[#This Row],[ListPot]],0)</f>
        <v>0</v>
      </c>
      <c r="CA41" s="4">
        <f>MIN(SUMIFS(Liste06[Spalte1],Liste06[Spalte2],Liste06[[#This Row],[Spalte2]]),3)*(Liste06[[#This Row],[Mult]]=1)*StimmenzahlOk</f>
        <v>0</v>
      </c>
      <c r="CB41" s="4">
        <f>SUMIFS(Liste06[ListVerg],Liste06[Spalte2],Liste06[[#This Row],[Spalte2]])*(Liste06[[#This Row],[Mult]]=1)*ListenkreuzeOk</f>
        <v>0</v>
      </c>
      <c r="CC41" s="4">
        <f>Liste06[[#This Row],[Liste]]+Liste06[[#This Row],[Einzel]]</f>
        <v>0</v>
      </c>
      <c r="CE41" s="42"/>
      <c r="CF41" s="3">
        <v>737</v>
      </c>
      <c r="CG41" s="37" t="s">
        <v>511</v>
      </c>
      <c r="CH41" s="9" t="b">
        <f>AND((Liste07[[#This Row],[Wahl]]=0),LEN(Liste07[[#This Row],[Wahl]])=1)</f>
        <v>0</v>
      </c>
      <c r="CI41" s="9">
        <f t="array" ref="CI41">SUM((ROW(Liste07[Platz])&lt;=ROW())*(Liste07[Platz]=Liste07[[#This Row],[Platz]])*NOT(Liste07[IstGestrichen]))*NOT(Liste07[[#This Row],[IstGestrichen]])</f>
        <v>1</v>
      </c>
      <c r="CJ41" s="9">
        <f t="array" ref="CJ41">MIN(SUMIFS(Liste07[Wahl],Liste07[Platz],Liste07[[#This Row],[Platz]]),3)</f>
        <v>0</v>
      </c>
      <c r="CK41" s="9">
        <f>(Liste07[[#This Row],[Mult]]&gt;Liste07[[#This Row],[GülzST2]])*1*NOT(Liste07[[#This Row],[IstGestrichen]])</f>
        <v>1</v>
      </c>
      <c r="CL41" s="9">
        <f>SUMIFS(Liste07[ListPot],Liste07[Platz],Liste07[[#This Row],[Platz]],Liste07[Mult],"&lt;="&amp;Liste07[[#This Row],[Mult]])+SUMIFS(Liste07[ListPot],Liste07[Platz],"&lt;"&amp;Liste07[[#This Row],[Platz]])*Liste07[[#This Row],[ListPot]]</f>
        <v>37</v>
      </c>
      <c r="CM41" s="14">
        <f>IF(AND(NOT(ISBLANK(CE$3)),Liste07[[#This Row],[ListPotKum]]&lt;=Reststimmen),Liste07[[#This Row],[ListPot]],0)</f>
        <v>0</v>
      </c>
      <c r="CN41" s="4">
        <f>MIN(SUMIFS(Liste07[Wahl],Liste07[Platz],Liste07[[#This Row],[Platz]]),3)*(Liste07[[#This Row],[Mult]]=1)*StimmenzahlOk</f>
        <v>0</v>
      </c>
      <c r="CO41" s="15">
        <f>SUMIFS(Liste07[ListVerg],Liste07[Platz],Liste07[[#This Row],[Platz]])*(Liste07[[#This Row],[Mult]]=1)*ListenkreuzeOk</f>
        <v>0</v>
      </c>
      <c r="CP41" s="4">
        <f>Liste07[[#This Row],[Liste]]+Liste07[[#This Row],[Einzel]]</f>
        <v>0</v>
      </c>
      <c r="CR41" s="42"/>
      <c r="CS41" s="3">
        <v>837</v>
      </c>
      <c r="CT41" s="37" t="s">
        <v>562</v>
      </c>
      <c r="CU41" s="9" t="b">
        <f>AND((Liste08[[#This Row],[Wahl]]=0),LEN(Liste08[[#This Row],[Wahl]])=1)</f>
        <v>0</v>
      </c>
      <c r="CV41" s="9">
        <f t="array" ref="CV41">SUM((ROW(Liste08[Platz])&lt;=ROW())*(Liste08[Platz]=Liste08[[#This Row],[Platz]])*NOT(Liste08[IstGestrichen]))*NOT(Liste08[[#This Row],[IstGestrichen]])</f>
        <v>1</v>
      </c>
      <c r="CW41" s="9">
        <f t="array" ref="CW41">MIN(SUMIFS(Liste08[Wahl],Liste08[Platz],Liste08[[#This Row],[Platz]]),3)</f>
        <v>0</v>
      </c>
      <c r="CX41" s="9">
        <f>(Liste08[[#This Row],[Mult]]&gt;Liste08[[#This Row],[GülzST2]])*1*NOT(Liste08[[#This Row],[IstGestrichen]])</f>
        <v>1</v>
      </c>
      <c r="CY41" s="9">
        <f>SUMIFS(Liste08[ListPot],Liste08[Platz],Liste08[[#This Row],[Platz]],Liste08[Mult],"&lt;="&amp;Liste08[[#This Row],[Mult]])+SUMIFS(Liste08[ListPot],Liste08[Platz],"&lt;"&amp;Liste08[[#This Row],[Platz]])*Liste08[[#This Row],[ListPot]]</f>
        <v>37</v>
      </c>
      <c r="CZ41" s="14">
        <f>IF(AND(NOT(ISBLANK(CR$3)),Liste08[[#This Row],[ListPotKum]]&lt;=Reststimmen),Liste08[[#This Row],[ListPot]],0)</f>
        <v>0</v>
      </c>
      <c r="DA41" s="4">
        <f>MIN(SUMIFS(Liste08[Wahl],Liste08[Platz],Liste08[[#This Row],[Platz]]),3)*(Liste08[[#This Row],[Mult]]=1)*StimmenzahlOk</f>
        <v>0</v>
      </c>
      <c r="DB41" s="15">
        <f>SUMIFS(Liste08[ListVerg],Liste08[Platz],Liste08[[#This Row],[Platz]])*(Liste08[[#This Row],[Mult]]=1)*ListenkreuzeOk</f>
        <v>0</v>
      </c>
      <c r="DC41" s="4">
        <f>Liste08[[#This Row],[Liste]]+Liste08[[#This Row],[Einzel]]</f>
        <v>0</v>
      </c>
      <c r="DE41" s="8"/>
      <c r="DF41" s="3"/>
      <c r="DG41" s="28"/>
      <c r="DH41" s="9" t="b">
        <f>AND((Liste09[[#This Row],[Wahl]]=0),LEN(Liste09[[#This Row],[Wahl]])=1)</f>
        <v>0</v>
      </c>
      <c r="DI41" s="9">
        <f t="array" ref="DI41">SUM((ROW(Liste09[Platz])&lt;=ROW())*(Liste09[Platz]=Liste09[[#This Row],[Platz]])*NOT(Liste09[IstGestrichen]))*NOT(Liste09[[#This Row],[IstGestrichen]])</f>
        <v>37</v>
      </c>
      <c r="DJ41" s="9">
        <f t="array" ref="DJ41">MIN(SUMIFS(Liste09[Wahl],Liste09[Platz],Liste09[[#This Row],[Platz]]),3)</f>
        <v>0</v>
      </c>
      <c r="DK41" s="9">
        <f>(Liste09[[#This Row],[Mult]]&gt;Liste09[[#This Row],[GülzST2]])*1*NOT(Liste09[[#This Row],[IstGestrichen]])</f>
        <v>1</v>
      </c>
      <c r="DL41" s="9">
        <f>SUMIFS(Liste09[ListPot],Liste09[Platz],Liste09[[#This Row],[Platz]],Liste09[Mult],"&lt;="&amp;Liste09[[#This Row],[Mult]])+SUMIFS(Liste09[ListPot],Liste09[Platz],"&lt;"&amp;Liste09[[#This Row],[Platz]])*Liste09[[#This Row],[ListPot]]</f>
        <v>0</v>
      </c>
      <c r="DM41" s="14">
        <f>IF(AND(NOT(ISBLANK(DE$3)),Liste09[[#This Row],[ListPotKum]]&lt;=Reststimmen),Liste09[[#This Row],[ListPot]],0)</f>
        <v>0</v>
      </c>
      <c r="DN41" s="4">
        <f>MIN(SUMIFS(Liste09[Wahl],Liste09[Platz],Liste09[[#This Row],[Platz]]),3)*(Liste09[[#This Row],[Mult]]=1)*StimmenzahlOk</f>
        <v>0</v>
      </c>
      <c r="DO41" s="15">
        <f>SUMIFS(Liste09[ListVerg],Liste09[Platz],Liste09[[#This Row],[Platz]])*(Liste09[[#This Row],[Mult]]=1)*ListenkreuzeOk</f>
        <v>0</v>
      </c>
      <c r="DP41" s="4">
        <f>Liste09[[#This Row],[Liste]]+Liste09[[#This Row],[Einzel]]</f>
        <v>0</v>
      </c>
    </row>
    <row r="42" spans="1:120" ht="15.75" x14ac:dyDescent="0.25">
      <c r="A42" s="13" t="s">
        <v>26</v>
      </c>
      <c r="B42" s="22" t="b">
        <f>GueltigeStimmen&gt;0</f>
        <v>0</v>
      </c>
      <c r="E42" s="42"/>
      <c r="F42" s="3">
        <v>138</v>
      </c>
      <c r="G42" s="2" t="s">
        <v>310</v>
      </c>
      <c r="H42" s="9" t="b">
        <f>AND((Liste01[[#This Row],[Wahl]]=0),LEN(Liste01[[#This Row],[Wahl]])=1)</f>
        <v>0</v>
      </c>
      <c r="I42" s="9">
        <f t="array" ref="I42">SUM((ROW(Liste01[Platz])&lt;=ROW())*(Liste01[Platz]=Liste01[[#This Row],[Platz]])*NOT(Liste01[IstGestrichen]))*NOT(Liste01[[#This Row],[IstGestrichen]])</f>
        <v>1</v>
      </c>
      <c r="J42" s="9">
        <f t="array" ref="J42">MIN(SUMIFS(Liste01[Wahl],Liste01[Platz],Liste01[[#This Row],[Platz]]),3)</f>
        <v>0</v>
      </c>
      <c r="K42" s="9">
        <f>(Liste01[[#This Row],[Mult]]&gt;Liste01[[#This Row],[GülzST2]])*1*NOT(Liste01[[#This Row],[IstGestrichen]])</f>
        <v>1</v>
      </c>
      <c r="L42" s="9">
        <f>SUMIFS(Liste01[ListPot],Liste01[Platz],Liste01[[#This Row],[Platz]],Liste01[Mult],"&lt;="&amp;Liste01[[#This Row],[Mult]])+SUMIFS(Liste01[ListPot],Liste01[Platz],"&lt;"&amp;Liste01[[#This Row],[Platz]])*Liste01[[#This Row],[ListPot]]</f>
        <v>38</v>
      </c>
      <c r="M42" s="14">
        <f>IF(AND(NOT(ISBLANK(E$3)),Liste01[[#This Row],[ListPotKum]]&lt;=Reststimmen),Liste01[[#This Row],[ListPot]],0)</f>
        <v>0</v>
      </c>
      <c r="N42" s="4">
        <f>MIN(SUMIFS(Liste01[Wahl],Liste01[Platz],Liste01[[#This Row],[Platz]]),3)*(Liste01[[#This Row],[Mult]]=1)*StimmenzahlOk</f>
        <v>0</v>
      </c>
      <c r="O42" s="15">
        <f>SUMIFS(Liste01[ListVerg],Liste01[Platz],Liste01[[#This Row],[Platz]])*(Liste01[[#This Row],[Mult]]=1)*ListenkreuzeOk</f>
        <v>0</v>
      </c>
      <c r="P42" s="4">
        <f>Liste01[[#This Row],[Liste]]+Liste01[[#This Row],[Einzel]]</f>
        <v>0</v>
      </c>
      <c r="R42" s="42"/>
      <c r="S42" s="3">
        <v>238</v>
      </c>
      <c r="T42" s="37" t="s">
        <v>360</v>
      </c>
      <c r="U42" s="9" t="b">
        <f>AND((Liste02[[#This Row],[Wahl]]=0),LEN(Liste02[[#This Row],[Wahl]])=1)</f>
        <v>0</v>
      </c>
      <c r="V42" s="9">
        <f t="array" ref="V42">SUM((ROW(Liste02[Platz])&lt;=ROW())*(Liste02[Platz]=Liste02[[#This Row],[Platz]])*NOT(Liste02[IstGestrichen]))*NOT(Liste02[[#This Row],[IstGestrichen]])</f>
        <v>1</v>
      </c>
      <c r="W42" s="9">
        <f t="array" ref="W42">MIN(SUMIFS(Liste02[Wahl],Liste02[Platz],Liste02[[#This Row],[Platz]]),3)</f>
        <v>0</v>
      </c>
      <c r="X42" s="9">
        <f>(Liste02[[#This Row],[Mult]]&gt;Liste02[[#This Row],[GülzST2]])*1*NOT(Liste02[[#This Row],[IstGestrichen]])</f>
        <v>1</v>
      </c>
      <c r="Y42" s="9">
        <f>SUMIFS(Liste02[ListPot],Liste02[Platz],Liste02[[#This Row],[Platz]],Liste02[Mult],"&lt;="&amp;Liste02[[#This Row],[Mult]])+SUMIFS(Liste02[ListPot],Liste02[Platz],"&lt;"&amp;Liste02[[#This Row],[Platz]])*Liste02[[#This Row],[ListPot]]</f>
        <v>38</v>
      </c>
      <c r="Z42" s="14">
        <f>IF(AND(NOT(ISBLANK(R$3)),Liste02[[#This Row],[ListPotKum]]&lt;=Reststimmen),Liste02[[#This Row],[ListPot]],0)</f>
        <v>0</v>
      </c>
      <c r="AA42" s="4">
        <f>MIN(SUMIFS(Liste02[Wahl],Liste02[Platz],Liste02[[#This Row],[Platz]]),3)*(Liste02[[#This Row],[Mult]]=1)*StimmenzahlOk</f>
        <v>0</v>
      </c>
      <c r="AB42" s="15">
        <f>SUMIFS(Liste02[ListVerg],Liste02[Platz],Liste02[[#This Row],[Platz]])*(Liste02[[#This Row],[Mult]]=1)*ListenkreuzeOk</f>
        <v>0</v>
      </c>
      <c r="AC42" s="4">
        <f>Liste02[[#This Row],[Liste]]+Liste02[[#This Row],[Einzel]]</f>
        <v>0</v>
      </c>
      <c r="AE42" s="42"/>
      <c r="AF42" s="3">
        <v>338</v>
      </c>
      <c r="AG42" s="37" t="s">
        <v>410</v>
      </c>
      <c r="AH42" s="9" t="b">
        <f>AND((Liste03[[#This Row],[Wahl]]=0),LEN(Liste03[[#This Row],[Wahl]])=1)</f>
        <v>0</v>
      </c>
      <c r="AI42" s="9">
        <f t="array" ref="AI42">SUM((ROW(Liste03[Platz])&lt;=ROW())*(Liste03[Platz]=Liste03[[#This Row],[Platz]])*NOT(Liste03[IstGestrichen]))*NOT(Liste03[[#This Row],[IstGestrichen]])</f>
        <v>1</v>
      </c>
      <c r="AJ42" s="9">
        <f t="array" ref="AJ42">MIN(SUMIFS(Liste03[Wahl],Liste03[Platz],Liste03[[#This Row],[Platz]]),3)</f>
        <v>0</v>
      </c>
      <c r="AK42" s="9">
        <f>(Liste03[[#This Row],[Mult]]&gt;Liste03[[#This Row],[GülzST2]])*1*NOT(Liste03[[#This Row],[IstGestrichen]])</f>
        <v>1</v>
      </c>
      <c r="AL42" s="9">
        <f>SUMIFS(Liste03[ListPot],Liste03[Platz],Liste03[[#This Row],[Platz]],Liste03[Mult],"&lt;="&amp;Liste03[[#This Row],[Mult]])+SUMIFS(Liste03[ListPot],Liste03[Platz],"&lt;"&amp;Liste03[[#This Row],[Platz]])*Liste03[[#This Row],[ListPot]]</f>
        <v>38</v>
      </c>
      <c r="AM42" s="14">
        <f>IF(AND(NOT(ISBLANK(AE$3)),Liste03[[#This Row],[ListPotKum]]&lt;=Reststimmen),Liste03[[#This Row],[ListPot]],0)</f>
        <v>0</v>
      </c>
      <c r="AN42" s="4">
        <f>MIN(SUMIFS(Liste03[Wahl],Liste03[Platz],Liste03[[#This Row],[Platz]]),3)*(Liste03[[#This Row],[Mult]]=1)*StimmenzahlOk</f>
        <v>0</v>
      </c>
      <c r="AO42" s="15">
        <f>SUMIFS(Liste03[ListVerg],Liste03[Platz],Liste03[[#This Row],[Platz]])*(Liste03[[#This Row],[Mult]]=1)*ListenkreuzeOk</f>
        <v>0</v>
      </c>
      <c r="AP42" s="4">
        <f>Liste03[[#This Row],[Liste]]+Liste03[[#This Row],[Einzel]]</f>
        <v>0</v>
      </c>
      <c r="AR42" s="42"/>
      <c r="AS42" s="3"/>
      <c r="AT42" s="37"/>
      <c r="AU42" s="9" t="b">
        <f>AND((Liste04[[#This Row],[Wahl]]=0),LEN(Liste04[[#This Row],[Wahl]])=1)</f>
        <v>0</v>
      </c>
      <c r="AV42" s="9">
        <f t="array" ref="AV42">SUM((ROW(Liste04[Platz])&lt;=ROW())*(Liste04[Platz]=Liste04[[#This Row],[Platz]])*NOT(Liste04[IstGestrichen]))*NOT(Liste04[[#This Row],[IstGestrichen]])</f>
        <v>38</v>
      </c>
      <c r="AW42" s="9">
        <f t="array" ref="AW42">MIN(SUMIFS(Liste04[Wahl],Liste04[Platz],Liste04[[#This Row],[Platz]]),3)</f>
        <v>0</v>
      </c>
      <c r="AX42" s="9">
        <f>(Liste04[[#This Row],[Mult]]&gt;Liste04[[#This Row],[GülzST2]])*1*NOT(Liste04[[#This Row],[IstGestrichen]])</f>
        <v>1</v>
      </c>
      <c r="AY42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2" s="14">
        <f>IF(AND(NOT(ISBLANK(AR$3)),Liste04[[#This Row],[ListPotKum]]&lt;=Reststimmen),Liste04[[#This Row],[ListPot]],0)</f>
        <v>0</v>
      </c>
      <c r="BA42" s="4">
        <f>MIN(SUMIFS(Liste04[Wahl],Liste04[Platz],Liste04[[#This Row],[Platz]]),3)*(Liste04[[#This Row],[Mult]]=1)*StimmenzahlOk</f>
        <v>0</v>
      </c>
      <c r="BB42" s="15">
        <f>SUMIFS(Liste04[ListVerg],Liste04[Platz],Liste04[[#This Row],[Platz]])*(Liste04[[#This Row],[Mult]]=1)*ListenkreuzeOk</f>
        <v>0</v>
      </c>
      <c r="BC42" s="4">
        <f>Liste04[[#This Row],[Liste]]+Liste04[[#This Row],[Einzel]]</f>
        <v>0</v>
      </c>
      <c r="BE42" s="42"/>
      <c r="BF42" s="3">
        <v>538</v>
      </c>
      <c r="BG42" s="37" t="s">
        <v>462</v>
      </c>
      <c r="BH42" s="9" t="b">
        <f>AND((Liste05[[#This Row],[Wahl]]=0),LEN(Liste05[[#This Row],[Wahl]])=1)</f>
        <v>0</v>
      </c>
      <c r="BI42" s="9">
        <f t="array" ref="BI42">SUM((ROW(Liste05[Platz])&lt;=ROW())*(Liste05[Platz]=Liste05[[#This Row],[Platz]])*NOT(Liste05[IstGestrichen]))*NOT(Liste05[[#This Row],[IstGestrichen]])</f>
        <v>1</v>
      </c>
      <c r="BJ42" s="9">
        <f t="array" ref="BJ42">MIN(SUMIFS(Liste05[Wahl],Liste05[Platz],Liste05[[#This Row],[Platz]]),3)</f>
        <v>0</v>
      </c>
      <c r="BK42" s="9">
        <f>(Liste05[[#This Row],[Mult]]&gt;Liste05[[#This Row],[GülzST2]])*1*NOT(Liste05[[#This Row],[IstGestrichen]])</f>
        <v>1</v>
      </c>
      <c r="BL42" s="9">
        <f>SUMIFS(Liste05[ListPot],Liste05[Platz],Liste05[[#This Row],[Platz]],Liste05[Mult],"&lt;="&amp;Liste05[[#This Row],[Mult]])+SUMIFS(Liste05[ListPot],Liste05[Platz],"&lt;"&amp;Liste05[[#This Row],[Platz]])*Liste05[[#This Row],[ListPot]]</f>
        <v>38</v>
      </c>
      <c r="BM42" s="14">
        <f>IF(AND(NOT(ISBLANK(BE$3)),Liste05[[#This Row],[ListPotKum]]&lt;=Reststimmen),Liste05[[#This Row],[ListPot]],0)</f>
        <v>0</v>
      </c>
      <c r="BN42" s="4">
        <f>MIN(SUMIFS(Liste05[Wahl],Liste05[Platz],Liste05[[#This Row],[Platz]]),3)*(Liste05[[#This Row],[Mult]]=1)*StimmenzahlOk</f>
        <v>0</v>
      </c>
      <c r="BO42" s="15">
        <f>SUMIFS(Liste05[ListVerg],Liste05[Platz],Liste05[[#This Row],[Platz]])*(Liste05[[#This Row],[Mult]]=1)*ListenkreuzeOk</f>
        <v>0</v>
      </c>
      <c r="BP42" s="4">
        <f>Liste05[[#This Row],[Liste]]+Liste05[[#This Row],[Einzel]]</f>
        <v>0</v>
      </c>
      <c r="BR42" s="8"/>
      <c r="BS42" s="3"/>
      <c r="BT42" s="28"/>
      <c r="BU42" s="9" t="b">
        <f>AND((Liste06[[#This Row],[Spalte1]]=0),LEN(Liste06[[#This Row],[Spalte1]])=1)</f>
        <v>0</v>
      </c>
      <c r="BV42" s="9">
        <f t="array" ref="BV42">SUM((ROW(Liste06[Spalte2])&lt;=ROW())*(Liste06[Spalte2]=Liste06[[#This Row],[Spalte2]])*NOT(Liste06[IstGestrichen]))*NOT(Liste06[[#This Row],[IstGestrichen]])</f>
        <v>38</v>
      </c>
      <c r="BW42" s="9">
        <f t="array" ref="BW42">MIN(SUMIFS(Liste06[Spalte1],Liste06[Spalte2],Liste06[[#This Row],[Spalte2]]),3)</f>
        <v>0</v>
      </c>
      <c r="BX42" s="9">
        <f>(Liste06[[#This Row],[Mult]]&gt;Liste06[[#This Row],[GülzST2]])*1*NOT(Liste06[[#This Row],[IstGestrichen]])</f>
        <v>1</v>
      </c>
      <c r="BY42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42" s="14">
        <f>IF(AND(NOT(ISBLANK(BR$3)),Liste06[[#This Row],[ListPotKum]]&lt;=Reststimmen),Liste06[[#This Row],[ListPot]],0)</f>
        <v>0</v>
      </c>
      <c r="CA42" s="4">
        <f>MIN(SUMIFS(Liste06[Spalte1],Liste06[Spalte2],Liste06[[#This Row],[Spalte2]]),3)*(Liste06[[#This Row],[Mult]]=1)*StimmenzahlOk</f>
        <v>0</v>
      </c>
      <c r="CB42" s="15">
        <f>SUMIFS(Liste06[ListVerg],Liste06[Spalte2],Liste06[[#This Row],[Spalte2]])*(Liste06[[#This Row],[Mult]]=1)*ListenkreuzeOk</f>
        <v>0</v>
      </c>
      <c r="CC42" s="4">
        <f>Liste06[[#This Row],[Liste]]+Liste06[[#This Row],[Einzel]]</f>
        <v>0</v>
      </c>
      <c r="CE42" s="42"/>
      <c r="CF42" s="3">
        <v>738</v>
      </c>
      <c r="CG42" s="37" t="s">
        <v>512</v>
      </c>
      <c r="CH42" s="9" t="b">
        <f>AND((Liste07[[#This Row],[Wahl]]=0),LEN(Liste07[[#This Row],[Wahl]])=1)</f>
        <v>0</v>
      </c>
      <c r="CI42" s="9">
        <f t="array" ref="CI42">SUM((ROW(Liste07[Platz])&lt;=ROW())*(Liste07[Platz]=Liste07[[#This Row],[Platz]])*NOT(Liste07[IstGestrichen]))*NOT(Liste07[[#This Row],[IstGestrichen]])</f>
        <v>1</v>
      </c>
      <c r="CJ42" s="9">
        <f t="array" ref="CJ42">MIN(SUMIFS(Liste07[Wahl],Liste07[Platz],Liste07[[#This Row],[Platz]]),3)</f>
        <v>0</v>
      </c>
      <c r="CK42" s="9">
        <f>(Liste07[[#This Row],[Mult]]&gt;Liste07[[#This Row],[GülzST2]])*1*NOT(Liste07[[#This Row],[IstGestrichen]])</f>
        <v>1</v>
      </c>
      <c r="CL42" s="9">
        <f>SUMIFS(Liste07[ListPot],Liste07[Platz],Liste07[[#This Row],[Platz]],Liste07[Mult],"&lt;="&amp;Liste07[[#This Row],[Mult]])+SUMIFS(Liste07[ListPot],Liste07[Platz],"&lt;"&amp;Liste07[[#This Row],[Platz]])*Liste07[[#This Row],[ListPot]]</f>
        <v>38</v>
      </c>
      <c r="CM42" s="14">
        <f>IF(AND(NOT(ISBLANK(CE$3)),Liste07[[#This Row],[ListPotKum]]&lt;=Reststimmen),Liste07[[#This Row],[ListPot]],0)</f>
        <v>0</v>
      </c>
      <c r="CN42" s="4">
        <f>MIN(SUMIFS(Liste07[Wahl],Liste07[Platz],Liste07[[#This Row],[Platz]]),3)*(Liste07[[#This Row],[Mult]]=1)*StimmenzahlOk</f>
        <v>0</v>
      </c>
      <c r="CO42" s="15">
        <f>SUMIFS(Liste07[ListVerg],Liste07[Platz],Liste07[[#This Row],[Platz]])*(Liste07[[#This Row],[Mult]]=1)*ListenkreuzeOk</f>
        <v>0</v>
      </c>
      <c r="CP42" s="4">
        <f>Liste07[[#This Row],[Liste]]+Liste07[[#This Row],[Einzel]]</f>
        <v>0</v>
      </c>
      <c r="CR42" s="42"/>
      <c r="CS42" s="3">
        <v>838</v>
      </c>
      <c r="CT42" s="37" t="s">
        <v>563</v>
      </c>
      <c r="CU42" s="9" t="b">
        <f>AND((Liste08[[#This Row],[Wahl]]=0),LEN(Liste08[[#This Row],[Wahl]])=1)</f>
        <v>0</v>
      </c>
      <c r="CV42" s="9">
        <f t="array" ref="CV42">SUM((ROW(Liste08[Platz])&lt;=ROW())*(Liste08[Platz]=Liste08[[#This Row],[Platz]])*NOT(Liste08[IstGestrichen]))*NOT(Liste08[[#This Row],[IstGestrichen]])</f>
        <v>1</v>
      </c>
      <c r="CW42" s="9">
        <f t="array" ref="CW42">MIN(SUMIFS(Liste08[Wahl],Liste08[Platz],Liste08[[#This Row],[Platz]]),3)</f>
        <v>0</v>
      </c>
      <c r="CX42" s="9">
        <f>(Liste08[[#This Row],[Mult]]&gt;Liste08[[#This Row],[GülzST2]])*1*NOT(Liste08[[#This Row],[IstGestrichen]])</f>
        <v>1</v>
      </c>
      <c r="CY42" s="9">
        <f>SUMIFS(Liste08[ListPot],Liste08[Platz],Liste08[[#This Row],[Platz]],Liste08[Mult],"&lt;="&amp;Liste08[[#This Row],[Mult]])+SUMIFS(Liste08[ListPot],Liste08[Platz],"&lt;"&amp;Liste08[[#This Row],[Platz]])*Liste08[[#This Row],[ListPot]]</f>
        <v>38</v>
      </c>
      <c r="CZ42" s="14">
        <f>IF(AND(NOT(ISBLANK(CR$3)),Liste08[[#This Row],[ListPotKum]]&lt;=Reststimmen),Liste08[[#This Row],[ListPot]],0)</f>
        <v>0</v>
      </c>
      <c r="DA42" s="4">
        <f>MIN(SUMIFS(Liste08[Wahl],Liste08[Platz],Liste08[[#This Row],[Platz]]),3)*(Liste08[[#This Row],[Mult]]=1)*StimmenzahlOk</f>
        <v>0</v>
      </c>
      <c r="DB42" s="15">
        <f>SUMIFS(Liste08[ListVerg],Liste08[Platz],Liste08[[#This Row],[Platz]])*(Liste08[[#This Row],[Mult]]=1)*ListenkreuzeOk</f>
        <v>0</v>
      </c>
      <c r="DC42" s="4">
        <f>Liste08[[#This Row],[Liste]]+Liste08[[#This Row],[Einzel]]</f>
        <v>0</v>
      </c>
      <c r="DE42" s="16">
        <f>SUBTOTAL(109,Liste09[Wahl])</f>
        <v>0</v>
      </c>
      <c r="DF42" s="10"/>
      <c r="DG42" s="33"/>
      <c r="DJ42">
        <f>SUBTOTAL(109,Liste09[GülzST2])</f>
        <v>0</v>
      </c>
      <c r="DK42">
        <f>SUBTOTAL(109,Liste09[ListPot])</f>
        <v>37</v>
      </c>
      <c r="DM42">
        <f>SUBTOTAL(109,Liste09[ListVerg])</f>
        <v>0</v>
      </c>
      <c r="DN42" s="6">
        <f>SUBTOTAL(109,Liste09[Einzel])</f>
        <v>0</v>
      </c>
      <c r="DO42" s="6">
        <f>SUBTOTAL(109,Liste09[Liste])</f>
        <v>0</v>
      </c>
      <c r="DP42" s="6">
        <f>SUBTOTAL(109,Liste09[Gesamt])</f>
        <v>0</v>
      </c>
    </row>
    <row r="43" spans="1:120" ht="15.75" x14ac:dyDescent="0.25">
      <c r="A43" s="17"/>
      <c r="B43" s="17"/>
      <c r="E43" s="42"/>
      <c r="F43" s="3">
        <v>139</v>
      </c>
      <c r="G43" s="2" t="s">
        <v>311</v>
      </c>
      <c r="H43" s="9" t="b">
        <f>AND((Liste01[[#This Row],[Wahl]]=0),LEN(Liste01[[#This Row],[Wahl]])=1)</f>
        <v>0</v>
      </c>
      <c r="I43" s="9">
        <f t="array" ref="I43">SUM((ROW(Liste01[Platz])&lt;=ROW())*(Liste01[Platz]=Liste01[[#This Row],[Platz]])*NOT(Liste01[IstGestrichen]))*NOT(Liste01[[#This Row],[IstGestrichen]])</f>
        <v>1</v>
      </c>
      <c r="J43" s="9">
        <f t="array" ref="J43">MIN(SUMIFS(Liste01[Wahl],Liste01[Platz],Liste01[[#This Row],[Platz]]),3)</f>
        <v>0</v>
      </c>
      <c r="K43" s="9">
        <f>(Liste01[[#This Row],[Mult]]&gt;Liste01[[#This Row],[GülzST2]])*1*NOT(Liste01[[#This Row],[IstGestrichen]])</f>
        <v>1</v>
      </c>
      <c r="L43" s="9">
        <f>SUMIFS(Liste01[ListPot],Liste01[Platz],Liste01[[#This Row],[Platz]],Liste01[Mult],"&lt;="&amp;Liste01[[#This Row],[Mult]])+SUMIFS(Liste01[ListPot],Liste01[Platz],"&lt;"&amp;Liste01[[#This Row],[Platz]])*Liste01[[#This Row],[ListPot]]</f>
        <v>39</v>
      </c>
      <c r="M43" s="14">
        <f>IF(AND(NOT(ISBLANK(E$3)),Liste01[[#This Row],[ListPotKum]]&lt;=Reststimmen),Liste01[[#This Row],[ListPot]],0)</f>
        <v>0</v>
      </c>
      <c r="N43" s="4">
        <f>MIN(SUMIFS(Liste01[Wahl],Liste01[Platz],Liste01[[#This Row],[Platz]]),3)*(Liste01[[#This Row],[Mult]]=1)*StimmenzahlOk</f>
        <v>0</v>
      </c>
      <c r="O43" s="15">
        <f>SUMIFS(Liste01[ListVerg],Liste01[Platz],Liste01[[#This Row],[Platz]])*(Liste01[[#This Row],[Mult]]=1)*ListenkreuzeOk</f>
        <v>0</v>
      </c>
      <c r="P43" s="4">
        <f>Liste01[[#This Row],[Liste]]+Liste01[[#This Row],[Einzel]]</f>
        <v>0</v>
      </c>
      <c r="R43" s="42"/>
      <c r="S43" s="3">
        <v>239</v>
      </c>
      <c r="T43" s="37" t="s">
        <v>361</v>
      </c>
      <c r="U43" s="9" t="b">
        <f>AND((Liste02[[#This Row],[Wahl]]=0),LEN(Liste02[[#This Row],[Wahl]])=1)</f>
        <v>0</v>
      </c>
      <c r="V43" s="9">
        <f t="array" ref="V43">SUM((ROW(Liste02[Platz])&lt;=ROW())*(Liste02[Platz]=Liste02[[#This Row],[Platz]])*NOT(Liste02[IstGestrichen]))*NOT(Liste02[[#This Row],[IstGestrichen]])</f>
        <v>1</v>
      </c>
      <c r="W43" s="9">
        <f t="array" ref="W43">MIN(SUMIFS(Liste02[Wahl],Liste02[Platz],Liste02[[#This Row],[Platz]]),3)</f>
        <v>0</v>
      </c>
      <c r="X43" s="9">
        <f>(Liste02[[#This Row],[Mult]]&gt;Liste02[[#This Row],[GülzST2]])*1*NOT(Liste02[[#This Row],[IstGestrichen]])</f>
        <v>1</v>
      </c>
      <c r="Y43" s="9">
        <f>SUMIFS(Liste02[ListPot],Liste02[Platz],Liste02[[#This Row],[Platz]],Liste02[Mult],"&lt;="&amp;Liste02[[#This Row],[Mult]])+SUMIFS(Liste02[ListPot],Liste02[Platz],"&lt;"&amp;Liste02[[#This Row],[Platz]])*Liste02[[#This Row],[ListPot]]</f>
        <v>39</v>
      </c>
      <c r="Z43" s="14">
        <f>IF(AND(NOT(ISBLANK(R$3)),Liste02[[#This Row],[ListPotKum]]&lt;=Reststimmen),Liste02[[#This Row],[ListPot]],0)</f>
        <v>0</v>
      </c>
      <c r="AA43" s="4">
        <f>MIN(SUMIFS(Liste02[Wahl],Liste02[Platz],Liste02[[#This Row],[Platz]]),3)*(Liste02[[#This Row],[Mult]]=1)*StimmenzahlOk</f>
        <v>0</v>
      </c>
      <c r="AB43" s="15">
        <f>SUMIFS(Liste02[ListVerg],Liste02[Platz],Liste02[[#This Row],[Platz]])*(Liste02[[#This Row],[Mult]]=1)*ListenkreuzeOk</f>
        <v>0</v>
      </c>
      <c r="AC43" s="4">
        <f>Liste02[[#This Row],[Liste]]+Liste02[[#This Row],[Einzel]]</f>
        <v>0</v>
      </c>
      <c r="AE43" s="42"/>
      <c r="AF43" s="3">
        <v>339</v>
      </c>
      <c r="AG43" s="37" t="s">
        <v>411</v>
      </c>
      <c r="AH43" s="9" t="b">
        <f>AND((Liste03[[#This Row],[Wahl]]=0),LEN(Liste03[[#This Row],[Wahl]])=1)</f>
        <v>0</v>
      </c>
      <c r="AI43" s="9">
        <f t="array" ref="AI43">SUM((ROW(Liste03[Platz])&lt;=ROW())*(Liste03[Platz]=Liste03[[#This Row],[Platz]])*NOT(Liste03[IstGestrichen]))*NOT(Liste03[[#This Row],[IstGestrichen]])</f>
        <v>1</v>
      </c>
      <c r="AJ43" s="9">
        <f t="array" ref="AJ43">MIN(SUMIFS(Liste03[Wahl],Liste03[Platz],Liste03[[#This Row],[Platz]]),3)</f>
        <v>0</v>
      </c>
      <c r="AK43" s="9">
        <f>(Liste03[[#This Row],[Mult]]&gt;Liste03[[#This Row],[GülzST2]])*1*NOT(Liste03[[#This Row],[IstGestrichen]])</f>
        <v>1</v>
      </c>
      <c r="AL43" s="9">
        <f>SUMIFS(Liste03[ListPot],Liste03[Platz],Liste03[[#This Row],[Platz]],Liste03[Mult],"&lt;="&amp;Liste03[[#This Row],[Mult]])+SUMIFS(Liste03[ListPot],Liste03[Platz],"&lt;"&amp;Liste03[[#This Row],[Platz]])*Liste03[[#This Row],[ListPot]]</f>
        <v>39</v>
      </c>
      <c r="AM43" s="14">
        <f>IF(AND(NOT(ISBLANK(AE$3)),Liste03[[#This Row],[ListPotKum]]&lt;=Reststimmen),Liste03[[#This Row],[ListPot]],0)</f>
        <v>0</v>
      </c>
      <c r="AN43" s="4">
        <f>MIN(SUMIFS(Liste03[Wahl],Liste03[Platz],Liste03[[#This Row],[Platz]]),3)*(Liste03[[#This Row],[Mult]]=1)*StimmenzahlOk</f>
        <v>0</v>
      </c>
      <c r="AO43" s="15">
        <f>SUMIFS(Liste03[ListVerg],Liste03[Platz],Liste03[[#This Row],[Platz]])*(Liste03[[#This Row],[Mult]]=1)*ListenkreuzeOk</f>
        <v>0</v>
      </c>
      <c r="AP43" s="4">
        <f>Liste03[[#This Row],[Liste]]+Liste03[[#This Row],[Einzel]]</f>
        <v>0</v>
      </c>
      <c r="AR43" s="42"/>
      <c r="AS43" s="3"/>
      <c r="AT43" s="37"/>
      <c r="AU43" s="9" t="b">
        <f>AND((Liste04[[#This Row],[Wahl]]=0),LEN(Liste04[[#This Row],[Wahl]])=1)</f>
        <v>0</v>
      </c>
      <c r="AV43" s="9">
        <f t="array" ref="AV43">SUM((ROW(Liste04[Platz])&lt;=ROW())*(Liste04[Platz]=Liste04[[#This Row],[Platz]])*NOT(Liste04[IstGestrichen]))*NOT(Liste04[[#This Row],[IstGestrichen]])</f>
        <v>39</v>
      </c>
      <c r="AW43" s="9">
        <f t="array" ref="AW43">MIN(SUMIFS(Liste04[Wahl],Liste04[Platz],Liste04[[#This Row],[Platz]]),3)</f>
        <v>0</v>
      </c>
      <c r="AX43" s="9">
        <f>(Liste04[[#This Row],[Mult]]&gt;Liste04[[#This Row],[GülzST2]])*1*NOT(Liste04[[#This Row],[IstGestrichen]])</f>
        <v>1</v>
      </c>
      <c r="AY43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3" s="14">
        <f>IF(AND(NOT(ISBLANK(AR$3)),Liste04[[#This Row],[ListPotKum]]&lt;=Reststimmen),Liste04[[#This Row],[ListPot]],0)</f>
        <v>0</v>
      </c>
      <c r="BA43" s="4">
        <f>MIN(SUMIFS(Liste04[Wahl],Liste04[Platz],Liste04[[#This Row],[Platz]]),3)*(Liste04[[#This Row],[Mult]]=1)*StimmenzahlOk</f>
        <v>0</v>
      </c>
      <c r="BB43" s="15">
        <f>SUMIFS(Liste04[ListVerg],Liste04[Platz],Liste04[[#This Row],[Platz]])*(Liste04[[#This Row],[Mult]]=1)*ListenkreuzeOk</f>
        <v>0</v>
      </c>
      <c r="BC43" s="4">
        <f>Liste04[[#This Row],[Liste]]+Liste04[[#This Row],[Einzel]]</f>
        <v>0</v>
      </c>
      <c r="BE43" s="42"/>
      <c r="BF43" s="3">
        <v>539</v>
      </c>
      <c r="BG43" s="37" t="s">
        <v>463</v>
      </c>
      <c r="BH43" s="9" t="b">
        <f>AND((Liste05[[#This Row],[Wahl]]=0),LEN(Liste05[[#This Row],[Wahl]])=1)</f>
        <v>0</v>
      </c>
      <c r="BI43" s="9">
        <f t="array" ref="BI43">SUM((ROW(Liste05[Platz])&lt;=ROW())*(Liste05[Platz]=Liste05[[#This Row],[Platz]])*NOT(Liste05[IstGestrichen]))*NOT(Liste05[[#This Row],[IstGestrichen]])</f>
        <v>1</v>
      </c>
      <c r="BJ43" s="9">
        <f t="array" ref="BJ43">MIN(SUMIFS(Liste05[Wahl],Liste05[Platz],Liste05[[#This Row],[Platz]]),3)</f>
        <v>0</v>
      </c>
      <c r="BK43" s="9">
        <f>(Liste05[[#This Row],[Mult]]&gt;Liste05[[#This Row],[GülzST2]])*1*NOT(Liste05[[#This Row],[IstGestrichen]])</f>
        <v>1</v>
      </c>
      <c r="BL43" s="9">
        <f>SUMIFS(Liste05[ListPot],Liste05[Platz],Liste05[[#This Row],[Platz]],Liste05[Mult],"&lt;="&amp;Liste05[[#This Row],[Mult]])+SUMIFS(Liste05[ListPot],Liste05[Platz],"&lt;"&amp;Liste05[[#This Row],[Platz]])*Liste05[[#This Row],[ListPot]]</f>
        <v>39</v>
      </c>
      <c r="BM43" s="14">
        <f>IF(AND(NOT(ISBLANK(BE$3)),Liste05[[#This Row],[ListPotKum]]&lt;=Reststimmen),Liste05[[#This Row],[ListPot]],0)</f>
        <v>0</v>
      </c>
      <c r="BN43" s="4">
        <f>MIN(SUMIFS(Liste05[Wahl],Liste05[Platz],Liste05[[#This Row],[Platz]]),3)*(Liste05[[#This Row],[Mult]]=1)*StimmenzahlOk</f>
        <v>0</v>
      </c>
      <c r="BO43" s="15">
        <f>SUMIFS(Liste05[ListVerg],Liste05[Platz],Liste05[[#This Row],[Platz]])*(Liste05[[#This Row],[Mult]]=1)*ListenkreuzeOk</f>
        <v>0</v>
      </c>
      <c r="BP43" s="4">
        <f>Liste05[[#This Row],[Liste]]+Liste05[[#This Row],[Einzel]]</f>
        <v>0</v>
      </c>
      <c r="BR43" s="8"/>
      <c r="BS43" s="3"/>
      <c r="BT43" s="28"/>
      <c r="BU43" s="9" t="b">
        <f>AND((Liste06[[#This Row],[Spalte1]]=0),LEN(Liste06[[#This Row],[Spalte1]])=1)</f>
        <v>0</v>
      </c>
      <c r="BV43" s="9">
        <f t="array" ref="BV43">SUM((ROW(Liste06[Spalte2])&lt;=ROW())*(Liste06[Spalte2]=Liste06[[#This Row],[Spalte2]])*NOT(Liste06[IstGestrichen]))*NOT(Liste06[[#This Row],[IstGestrichen]])</f>
        <v>39</v>
      </c>
      <c r="BW43" s="9">
        <f t="array" ref="BW43">MIN(SUMIFS(Liste06[Spalte1],Liste06[Spalte2],Liste06[[#This Row],[Spalte2]]),3)</f>
        <v>0</v>
      </c>
      <c r="BX43" s="9">
        <f>(Liste06[[#This Row],[Mult]]&gt;Liste06[[#This Row],[GülzST2]])*1*NOT(Liste06[[#This Row],[IstGestrichen]])</f>
        <v>1</v>
      </c>
      <c r="BY43" s="9">
        <f>SUMIFS(Liste06[ListPot],Liste06[Spalte2],Liste06[[#This Row],[Spalte2]],Liste06[Mult],"&lt;="&amp;Liste06[[#This Row],[Mult]])+SUMIFS(Liste06[ListPot],Liste06[Spalte2],"&lt;"&amp;Liste06[[#This Row],[Spalte2]])*Liste06[[#This Row],[ListPot]]</f>
        <v>0</v>
      </c>
      <c r="BZ43" s="14">
        <f>IF(AND(NOT(ISBLANK(BR$3)),Liste06[[#This Row],[ListPotKum]]&lt;=Reststimmen),Liste06[[#This Row],[ListPot]],0)</f>
        <v>0</v>
      </c>
      <c r="CA43" s="4">
        <f>MIN(SUMIFS(Liste06[Spalte1],Liste06[Spalte2],Liste06[[#This Row],[Spalte2]]),3)*(Liste06[[#This Row],[Mult]]=1)*StimmenzahlOk</f>
        <v>0</v>
      </c>
      <c r="CB43" s="15">
        <f>SUMIFS(Liste06[ListVerg],Liste06[Spalte2],Liste06[[#This Row],[Spalte2]])*(Liste06[[#This Row],[Mult]]=1)*ListenkreuzeOk</f>
        <v>0</v>
      </c>
      <c r="CC43" s="4">
        <f>Liste06[[#This Row],[Liste]]+Liste06[[#This Row],[Einzel]]</f>
        <v>0</v>
      </c>
      <c r="CE43" s="42"/>
      <c r="CF43" s="3">
        <v>739</v>
      </c>
      <c r="CG43" s="37" t="s">
        <v>513</v>
      </c>
      <c r="CH43" s="9" t="b">
        <f>AND((Liste07[[#This Row],[Wahl]]=0),LEN(Liste07[[#This Row],[Wahl]])=1)</f>
        <v>0</v>
      </c>
      <c r="CI43" s="9">
        <f t="array" ref="CI43">SUM((ROW(Liste07[Platz])&lt;=ROW())*(Liste07[Platz]=Liste07[[#This Row],[Platz]])*NOT(Liste07[IstGestrichen]))*NOT(Liste07[[#This Row],[IstGestrichen]])</f>
        <v>1</v>
      </c>
      <c r="CJ43" s="9">
        <f t="array" ref="CJ43">MIN(SUMIFS(Liste07[Wahl],Liste07[Platz],Liste07[[#This Row],[Platz]]),3)</f>
        <v>0</v>
      </c>
      <c r="CK43" s="9">
        <f>(Liste07[[#This Row],[Mult]]&gt;Liste07[[#This Row],[GülzST2]])*1*NOT(Liste07[[#This Row],[IstGestrichen]])</f>
        <v>1</v>
      </c>
      <c r="CL43" s="9">
        <f>SUMIFS(Liste07[ListPot],Liste07[Platz],Liste07[[#This Row],[Platz]],Liste07[Mult],"&lt;="&amp;Liste07[[#This Row],[Mult]])+SUMIFS(Liste07[ListPot],Liste07[Platz],"&lt;"&amp;Liste07[[#This Row],[Platz]])*Liste07[[#This Row],[ListPot]]</f>
        <v>39</v>
      </c>
      <c r="CM43" s="14">
        <f>IF(AND(NOT(ISBLANK(CE$3)),Liste07[[#This Row],[ListPotKum]]&lt;=Reststimmen),Liste07[[#This Row],[ListPot]],0)</f>
        <v>0</v>
      </c>
      <c r="CN43" s="4">
        <f>MIN(SUMIFS(Liste07[Wahl],Liste07[Platz],Liste07[[#This Row],[Platz]]),3)*(Liste07[[#This Row],[Mult]]=1)*StimmenzahlOk</f>
        <v>0</v>
      </c>
      <c r="CO43" s="15">
        <f>SUMIFS(Liste07[ListVerg],Liste07[Platz],Liste07[[#This Row],[Platz]])*(Liste07[[#This Row],[Mult]]=1)*ListenkreuzeOk</f>
        <v>0</v>
      </c>
      <c r="CP43" s="4">
        <f>Liste07[[#This Row],[Liste]]+Liste07[[#This Row],[Einzel]]</f>
        <v>0</v>
      </c>
      <c r="CR43" s="42"/>
      <c r="CS43" s="3">
        <v>839</v>
      </c>
      <c r="CT43" s="37" t="s">
        <v>564</v>
      </c>
      <c r="CU43" s="9" t="b">
        <f>AND((Liste08[[#This Row],[Wahl]]=0),LEN(Liste08[[#This Row],[Wahl]])=1)</f>
        <v>0</v>
      </c>
      <c r="CV43" s="9">
        <f t="array" ref="CV43">SUM((ROW(Liste08[Platz])&lt;=ROW())*(Liste08[Platz]=Liste08[[#This Row],[Platz]])*NOT(Liste08[IstGestrichen]))*NOT(Liste08[[#This Row],[IstGestrichen]])</f>
        <v>1</v>
      </c>
      <c r="CW43" s="9">
        <f t="array" ref="CW43">MIN(SUMIFS(Liste08[Wahl],Liste08[Platz],Liste08[[#This Row],[Platz]]),3)</f>
        <v>0</v>
      </c>
      <c r="CX43" s="9">
        <f>(Liste08[[#This Row],[Mult]]&gt;Liste08[[#This Row],[GülzST2]])*1*NOT(Liste08[[#This Row],[IstGestrichen]])</f>
        <v>1</v>
      </c>
      <c r="CY43" s="9">
        <f>SUMIFS(Liste08[ListPot],Liste08[Platz],Liste08[[#This Row],[Platz]],Liste08[Mult],"&lt;="&amp;Liste08[[#This Row],[Mult]])+SUMIFS(Liste08[ListPot],Liste08[Platz],"&lt;"&amp;Liste08[[#This Row],[Platz]])*Liste08[[#This Row],[ListPot]]</f>
        <v>39</v>
      </c>
      <c r="CZ43" s="14">
        <f>IF(AND(NOT(ISBLANK(CR$3)),Liste08[[#This Row],[ListPotKum]]&lt;=Reststimmen),Liste08[[#This Row],[ListPot]],0)</f>
        <v>0</v>
      </c>
      <c r="DA43" s="4">
        <f>MIN(SUMIFS(Liste08[Wahl],Liste08[Platz],Liste08[[#This Row],[Platz]]),3)*(Liste08[[#This Row],[Mult]]=1)*StimmenzahlOk</f>
        <v>0</v>
      </c>
      <c r="DB43" s="15">
        <f>SUMIFS(Liste08[ListVerg],Liste08[Platz],Liste08[[#This Row],[Platz]])*(Liste08[[#This Row],[Mult]]=1)*ListenkreuzeOk</f>
        <v>0</v>
      </c>
      <c r="DC43" s="4">
        <f>Liste08[[#This Row],[Liste]]+Liste08[[#This Row],[Einzel]]</f>
        <v>0</v>
      </c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</row>
    <row r="44" spans="1:120" ht="15.75" x14ac:dyDescent="0.25">
      <c r="A44" s="17"/>
      <c r="B44" s="17"/>
      <c r="E44" s="42"/>
      <c r="F44" s="3">
        <v>140</v>
      </c>
      <c r="G44" s="2" t="s">
        <v>312</v>
      </c>
      <c r="H44" s="9" t="b">
        <f>AND((Liste01[[#This Row],[Wahl]]=0),LEN(Liste01[[#This Row],[Wahl]])=1)</f>
        <v>0</v>
      </c>
      <c r="I44" s="9">
        <f t="array" ref="I44">SUM((ROW(Liste01[Platz])&lt;=ROW())*(Liste01[Platz]=Liste01[[#This Row],[Platz]])*NOT(Liste01[IstGestrichen]))*NOT(Liste01[[#This Row],[IstGestrichen]])</f>
        <v>1</v>
      </c>
      <c r="J44" s="9">
        <f t="array" ref="J44">MIN(SUMIFS(Liste01[Wahl],Liste01[Platz],Liste01[[#This Row],[Platz]]),3)</f>
        <v>0</v>
      </c>
      <c r="K44" s="9">
        <f>(Liste01[[#This Row],[Mult]]&gt;Liste01[[#This Row],[GülzST2]])*1*NOT(Liste01[[#This Row],[IstGestrichen]])</f>
        <v>1</v>
      </c>
      <c r="L44" s="9">
        <f>SUMIFS(Liste01[ListPot],Liste01[Platz],Liste01[[#This Row],[Platz]],Liste01[Mult],"&lt;="&amp;Liste01[[#This Row],[Mult]])+SUMIFS(Liste01[ListPot],Liste01[Platz],"&lt;"&amp;Liste01[[#This Row],[Platz]])*Liste01[[#This Row],[ListPot]]</f>
        <v>40</v>
      </c>
      <c r="M44" s="14">
        <f>IF(AND(NOT(ISBLANK(E$3)),Liste01[[#This Row],[ListPotKum]]&lt;=Reststimmen),Liste01[[#This Row],[ListPot]],0)</f>
        <v>0</v>
      </c>
      <c r="N44" s="4">
        <f>MIN(SUMIFS(Liste01[Wahl],Liste01[Platz],Liste01[[#This Row],[Platz]]),3)*(Liste01[[#This Row],[Mult]]=1)*StimmenzahlOk</f>
        <v>0</v>
      </c>
      <c r="O44" s="15">
        <f>SUMIFS(Liste01[ListVerg],Liste01[Platz],Liste01[[#This Row],[Platz]])*(Liste01[[#This Row],[Mult]]=1)*ListenkreuzeOk</f>
        <v>0</v>
      </c>
      <c r="P44" s="4">
        <f>Liste01[[#This Row],[Liste]]+Liste01[[#This Row],[Einzel]]</f>
        <v>0</v>
      </c>
      <c r="R44" s="42"/>
      <c r="S44" s="3">
        <v>240</v>
      </c>
      <c r="T44" s="37" t="s">
        <v>362</v>
      </c>
      <c r="U44" s="9" t="b">
        <f>AND((Liste02[[#This Row],[Wahl]]=0),LEN(Liste02[[#This Row],[Wahl]])=1)</f>
        <v>0</v>
      </c>
      <c r="V44" s="9">
        <f t="array" ref="V44">SUM((ROW(Liste02[Platz])&lt;=ROW())*(Liste02[Platz]=Liste02[[#This Row],[Platz]])*NOT(Liste02[IstGestrichen]))*NOT(Liste02[[#This Row],[IstGestrichen]])</f>
        <v>1</v>
      </c>
      <c r="W44" s="9">
        <f t="array" ref="W44">MIN(SUMIFS(Liste02[Wahl],Liste02[Platz],Liste02[[#This Row],[Platz]]),3)</f>
        <v>0</v>
      </c>
      <c r="X44" s="9">
        <f>(Liste02[[#This Row],[Mult]]&gt;Liste02[[#This Row],[GülzST2]])*1*NOT(Liste02[[#This Row],[IstGestrichen]])</f>
        <v>1</v>
      </c>
      <c r="Y44" s="9">
        <f>SUMIFS(Liste02[ListPot],Liste02[Platz],Liste02[[#This Row],[Platz]],Liste02[Mult],"&lt;="&amp;Liste02[[#This Row],[Mult]])+SUMIFS(Liste02[ListPot],Liste02[Platz],"&lt;"&amp;Liste02[[#This Row],[Platz]])*Liste02[[#This Row],[ListPot]]</f>
        <v>40</v>
      </c>
      <c r="Z44" s="14">
        <f>IF(AND(NOT(ISBLANK(R$3)),Liste02[[#This Row],[ListPotKum]]&lt;=Reststimmen),Liste02[[#This Row],[ListPot]],0)</f>
        <v>0</v>
      </c>
      <c r="AA44" s="4">
        <f>MIN(SUMIFS(Liste02[Wahl],Liste02[Platz],Liste02[[#This Row],[Platz]]),3)*(Liste02[[#This Row],[Mult]]=1)*StimmenzahlOk</f>
        <v>0</v>
      </c>
      <c r="AB44" s="15">
        <f>SUMIFS(Liste02[ListVerg],Liste02[Platz],Liste02[[#This Row],[Platz]])*(Liste02[[#This Row],[Mult]]=1)*ListenkreuzeOk</f>
        <v>0</v>
      </c>
      <c r="AC44" s="4">
        <f>Liste02[[#This Row],[Liste]]+Liste02[[#This Row],[Einzel]]</f>
        <v>0</v>
      </c>
      <c r="AE44" s="42"/>
      <c r="AF44" s="3">
        <v>340</v>
      </c>
      <c r="AG44" s="37" t="s">
        <v>412</v>
      </c>
      <c r="AH44" s="9" t="b">
        <f>AND((Liste03[[#This Row],[Wahl]]=0),LEN(Liste03[[#This Row],[Wahl]])=1)</f>
        <v>0</v>
      </c>
      <c r="AI44" s="9">
        <f t="array" ref="AI44">SUM((ROW(Liste03[Platz])&lt;=ROW())*(Liste03[Platz]=Liste03[[#This Row],[Platz]])*NOT(Liste03[IstGestrichen]))*NOT(Liste03[[#This Row],[IstGestrichen]])</f>
        <v>1</v>
      </c>
      <c r="AJ44" s="9">
        <f t="array" ref="AJ44">MIN(SUMIFS(Liste03[Wahl],Liste03[Platz],Liste03[[#This Row],[Platz]]),3)</f>
        <v>0</v>
      </c>
      <c r="AK44" s="9">
        <f>(Liste03[[#This Row],[Mult]]&gt;Liste03[[#This Row],[GülzST2]])*1*NOT(Liste03[[#This Row],[IstGestrichen]])</f>
        <v>1</v>
      </c>
      <c r="AL44" s="9">
        <f>SUMIFS(Liste03[ListPot],Liste03[Platz],Liste03[[#This Row],[Platz]],Liste03[Mult],"&lt;="&amp;Liste03[[#This Row],[Mult]])+SUMIFS(Liste03[ListPot],Liste03[Platz],"&lt;"&amp;Liste03[[#This Row],[Platz]])*Liste03[[#This Row],[ListPot]]</f>
        <v>40</v>
      </c>
      <c r="AM44" s="14">
        <f>IF(AND(NOT(ISBLANK(AE$3)),Liste03[[#This Row],[ListPotKum]]&lt;=Reststimmen),Liste03[[#This Row],[ListPot]],0)</f>
        <v>0</v>
      </c>
      <c r="AN44" s="4">
        <f>MIN(SUMIFS(Liste03[Wahl],Liste03[Platz],Liste03[[#This Row],[Platz]]),3)*(Liste03[[#This Row],[Mult]]=1)*StimmenzahlOk</f>
        <v>0</v>
      </c>
      <c r="AO44" s="15">
        <f>SUMIFS(Liste03[ListVerg],Liste03[Platz],Liste03[[#This Row],[Platz]])*(Liste03[[#This Row],[Mult]]=1)*ListenkreuzeOk</f>
        <v>0</v>
      </c>
      <c r="AP44" s="4">
        <f>Liste03[[#This Row],[Liste]]+Liste03[[#This Row],[Einzel]]</f>
        <v>0</v>
      </c>
      <c r="AR44" s="42"/>
      <c r="AS44" s="3"/>
      <c r="AT44" s="37"/>
      <c r="AU44" s="9" t="b">
        <f>AND((Liste04[[#This Row],[Wahl]]=0),LEN(Liste04[[#This Row],[Wahl]])=1)</f>
        <v>0</v>
      </c>
      <c r="AV44" s="9">
        <f t="array" ref="AV44">SUM((ROW(Liste04[Platz])&lt;=ROW())*(Liste04[Platz]=Liste04[[#This Row],[Platz]])*NOT(Liste04[IstGestrichen]))*NOT(Liste04[[#This Row],[IstGestrichen]])</f>
        <v>40</v>
      </c>
      <c r="AW44" s="9">
        <f t="array" ref="AW44">MIN(SUMIFS(Liste04[Wahl],Liste04[Platz],Liste04[[#This Row],[Platz]]),3)</f>
        <v>0</v>
      </c>
      <c r="AX44" s="9">
        <f>(Liste04[[#This Row],[Mult]]&gt;Liste04[[#This Row],[GülzST2]])*1*NOT(Liste04[[#This Row],[IstGestrichen]])</f>
        <v>1</v>
      </c>
      <c r="AY44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4" s="14">
        <f>IF(AND(NOT(ISBLANK(AR$3)),Liste04[[#This Row],[ListPotKum]]&lt;=Reststimmen),Liste04[[#This Row],[ListPot]],0)</f>
        <v>0</v>
      </c>
      <c r="BA44" s="4">
        <f>MIN(SUMIFS(Liste04[Wahl],Liste04[Platz],Liste04[[#This Row],[Platz]]),3)*(Liste04[[#This Row],[Mult]]=1)*StimmenzahlOk</f>
        <v>0</v>
      </c>
      <c r="BB44" s="15">
        <f>SUMIFS(Liste04[ListVerg],Liste04[Platz],Liste04[[#This Row],[Platz]])*(Liste04[[#This Row],[Mult]]=1)*ListenkreuzeOk</f>
        <v>0</v>
      </c>
      <c r="BC44" s="4">
        <f>Liste04[[#This Row],[Liste]]+Liste04[[#This Row],[Einzel]]</f>
        <v>0</v>
      </c>
      <c r="BE44" s="42"/>
      <c r="BF44" s="3">
        <v>540</v>
      </c>
      <c r="BG44" s="37" t="s">
        <v>464</v>
      </c>
      <c r="BH44" s="9" t="b">
        <f>AND((Liste05[[#This Row],[Wahl]]=0),LEN(Liste05[[#This Row],[Wahl]])=1)</f>
        <v>0</v>
      </c>
      <c r="BI44" s="9">
        <f t="array" ref="BI44">SUM((ROW(Liste05[Platz])&lt;=ROW())*(Liste05[Platz]=Liste05[[#This Row],[Platz]])*NOT(Liste05[IstGestrichen]))*NOT(Liste05[[#This Row],[IstGestrichen]])</f>
        <v>1</v>
      </c>
      <c r="BJ44" s="9">
        <f t="array" ref="BJ44">MIN(SUMIFS(Liste05[Wahl],Liste05[Platz],Liste05[[#This Row],[Platz]]),3)</f>
        <v>0</v>
      </c>
      <c r="BK44" s="9">
        <f>(Liste05[[#This Row],[Mult]]&gt;Liste05[[#This Row],[GülzST2]])*1*NOT(Liste05[[#This Row],[IstGestrichen]])</f>
        <v>1</v>
      </c>
      <c r="BL44" s="9">
        <f>SUMIFS(Liste05[ListPot],Liste05[Platz],Liste05[[#This Row],[Platz]],Liste05[Mult],"&lt;="&amp;Liste05[[#This Row],[Mult]])+SUMIFS(Liste05[ListPot],Liste05[Platz],"&lt;"&amp;Liste05[[#This Row],[Platz]])*Liste05[[#This Row],[ListPot]]</f>
        <v>40</v>
      </c>
      <c r="BM44" s="14">
        <f>IF(AND(NOT(ISBLANK(BE$3)),Liste05[[#This Row],[ListPotKum]]&lt;=Reststimmen),Liste05[[#This Row],[ListPot]],0)</f>
        <v>0</v>
      </c>
      <c r="BN44" s="4">
        <f>MIN(SUMIFS(Liste05[Wahl],Liste05[Platz],Liste05[[#This Row],[Platz]]),3)*(Liste05[[#This Row],[Mult]]=1)*StimmenzahlOk</f>
        <v>0</v>
      </c>
      <c r="BO44" s="15">
        <f>SUMIFS(Liste05[ListVerg],Liste05[Platz],Liste05[[#This Row],[Platz]])*(Liste05[[#This Row],[Mult]]=1)*ListenkreuzeOk</f>
        <v>0</v>
      </c>
      <c r="BP44" s="4">
        <f>Liste05[[#This Row],[Liste]]+Liste05[[#This Row],[Einzel]]</f>
        <v>0</v>
      </c>
      <c r="BR44" s="16"/>
      <c r="BS44" s="10"/>
      <c r="BT44" s="33"/>
      <c r="BW44">
        <f>SUBTOTAL(109,Liste06[GülzST2])</f>
        <v>0</v>
      </c>
      <c r="BX44">
        <f>SUBTOTAL(109,Liste06[ListPot])</f>
        <v>39</v>
      </c>
      <c r="BZ44">
        <f>SUBTOTAL(109,Liste06[ListVerg])</f>
        <v>0</v>
      </c>
      <c r="CA44" s="6">
        <f>SUBTOTAL(109,Liste06[Einzel])</f>
        <v>0</v>
      </c>
      <c r="CB44" s="6">
        <f>SUBTOTAL(109,Liste06[Liste])</f>
        <v>0</v>
      </c>
      <c r="CC44" s="6">
        <f>SUBTOTAL(109,Liste06[Gesamt])</f>
        <v>0</v>
      </c>
      <c r="CE44" s="42"/>
      <c r="CF44" s="3">
        <v>740</v>
      </c>
      <c r="CG44" s="37" t="s">
        <v>514</v>
      </c>
      <c r="CH44" s="9" t="b">
        <f>AND((Liste07[[#This Row],[Wahl]]=0),LEN(Liste07[[#This Row],[Wahl]])=1)</f>
        <v>0</v>
      </c>
      <c r="CI44" s="9">
        <f t="array" ref="CI44">SUM((ROW(Liste07[Platz])&lt;=ROW())*(Liste07[Platz]=Liste07[[#This Row],[Platz]])*NOT(Liste07[IstGestrichen]))*NOT(Liste07[[#This Row],[IstGestrichen]])</f>
        <v>1</v>
      </c>
      <c r="CJ44" s="9">
        <f t="array" ref="CJ44">MIN(SUMIFS(Liste07[Wahl],Liste07[Platz],Liste07[[#This Row],[Platz]]),3)</f>
        <v>0</v>
      </c>
      <c r="CK44" s="9">
        <f>(Liste07[[#This Row],[Mult]]&gt;Liste07[[#This Row],[GülzST2]])*1*NOT(Liste07[[#This Row],[IstGestrichen]])</f>
        <v>1</v>
      </c>
      <c r="CL44" s="9">
        <f>SUMIFS(Liste07[ListPot],Liste07[Platz],Liste07[[#This Row],[Platz]],Liste07[Mult],"&lt;="&amp;Liste07[[#This Row],[Mult]])+SUMIFS(Liste07[ListPot],Liste07[Platz],"&lt;"&amp;Liste07[[#This Row],[Platz]])*Liste07[[#This Row],[ListPot]]</f>
        <v>40</v>
      </c>
      <c r="CM44" s="14">
        <f>IF(AND(NOT(ISBLANK(CE$3)),Liste07[[#This Row],[ListPotKum]]&lt;=Reststimmen),Liste07[[#This Row],[ListPot]],0)</f>
        <v>0</v>
      </c>
      <c r="CN44" s="4">
        <f>MIN(SUMIFS(Liste07[Wahl],Liste07[Platz],Liste07[[#This Row],[Platz]]),3)*(Liste07[[#This Row],[Mult]]=1)*StimmenzahlOk</f>
        <v>0</v>
      </c>
      <c r="CO44" s="15">
        <f>SUMIFS(Liste07[ListVerg],Liste07[Platz],Liste07[[#This Row],[Platz]])*(Liste07[[#This Row],[Mult]]=1)*ListenkreuzeOk</f>
        <v>0</v>
      </c>
      <c r="CP44" s="4">
        <f>Liste07[[#This Row],[Liste]]+Liste07[[#This Row],[Einzel]]</f>
        <v>0</v>
      </c>
      <c r="CR44" s="8"/>
      <c r="CS44" s="3">
        <v>840</v>
      </c>
      <c r="CT44" s="28" t="s">
        <v>565</v>
      </c>
      <c r="CU44" t="b">
        <f>AND((Liste08[[#This Row],[Wahl]]=0),LEN(Liste08[[#This Row],[Wahl]])=1)</f>
        <v>0</v>
      </c>
      <c r="CV44">
        <f t="array" ref="CV44">SUM((ROW(Liste08[Platz])&lt;=ROW())*(Liste08[Platz]=Liste08[[#This Row],[Platz]])*NOT(Liste08[IstGestrichen]))*NOT(Liste08[[#This Row],[IstGestrichen]])</f>
        <v>1</v>
      </c>
      <c r="CW44">
        <f t="array" ref="CW44">MIN(SUMIFS(Liste08[Wahl],Liste08[Platz],Liste08[[#This Row],[Platz]]),3)</f>
        <v>0</v>
      </c>
      <c r="CX44">
        <f>(Liste08[[#This Row],[Mult]]&gt;Liste08[[#This Row],[GülzST2]])*1*NOT(Liste08[[#This Row],[IstGestrichen]])</f>
        <v>1</v>
      </c>
      <c r="CY44">
        <f>SUMIFS(Liste08[ListPot],Liste08[Platz],Liste08[[#This Row],[Platz]],Liste08[Mult],"&lt;="&amp;Liste08[[#This Row],[Mult]])+SUMIFS(Liste08[ListPot],Liste08[Platz],"&lt;"&amp;Liste08[[#This Row],[Platz]])*Liste08[[#This Row],[ListPot]]</f>
        <v>40</v>
      </c>
      <c r="CZ44">
        <f>IF(AND(NOT(ISBLANK(CR$3)),Liste08[[#This Row],[ListPotKum]]&lt;=Reststimmen),Liste08[[#This Row],[ListPot]],0)</f>
        <v>0</v>
      </c>
      <c r="DA44" s="4">
        <f>MIN(SUMIFS(Liste08[Wahl],Liste08[Platz],Liste08[[#This Row],[Platz]]),3)*(Liste08[[#This Row],[Mult]]=1)*StimmenzahlOk</f>
        <v>0</v>
      </c>
      <c r="DB44" s="4">
        <f>SUMIFS(Liste08[ListVerg],Liste08[Platz],Liste08[[#This Row],[Platz]])*(Liste08[[#This Row],[Mult]]=1)*ListenkreuzeOk</f>
        <v>0</v>
      </c>
      <c r="DC44" s="4">
        <f>Liste08[[#This Row],[Liste]]+Liste08[[#This Row],[Einzel]]</f>
        <v>0</v>
      </c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</row>
    <row r="45" spans="1:120" ht="15.75" x14ac:dyDescent="0.25">
      <c r="A45" s="17"/>
      <c r="B45" s="17"/>
      <c r="E45" s="8"/>
      <c r="F45" s="3">
        <v>141</v>
      </c>
      <c r="G45" s="2" t="s">
        <v>313</v>
      </c>
      <c r="H45" s="9" t="b">
        <f>AND((Liste01[[#This Row],[Wahl]]=0),LEN(Liste01[[#This Row],[Wahl]])=1)</f>
        <v>0</v>
      </c>
      <c r="I45" s="9">
        <f t="array" ref="I45">SUM((ROW(Liste01[Platz])&lt;=ROW())*(Liste01[Platz]=Liste01[[#This Row],[Platz]])*NOT(Liste01[IstGestrichen]))*NOT(Liste01[[#This Row],[IstGestrichen]])</f>
        <v>1</v>
      </c>
      <c r="J45" s="9">
        <f t="array" ref="J45">MIN(SUMIFS(Liste01[Wahl],Liste01[Platz],Liste01[[#This Row],[Platz]]),3)</f>
        <v>0</v>
      </c>
      <c r="K45" s="9">
        <f>(Liste01[[#This Row],[Mult]]&gt;Liste01[[#This Row],[GülzST2]])*1*NOT(Liste01[[#This Row],[IstGestrichen]])</f>
        <v>1</v>
      </c>
      <c r="L45" s="9">
        <f>SUMIFS(Liste01[ListPot],Liste01[Platz],Liste01[[#This Row],[Platz]],Liste01[Mult],"&lt;="&amp;Liste01[[#This Row],[Mult]])+SUMIFS(Liste01[ListPot],Liste01[Platz],"&lt;"&amp;Liste01[[#This Row],[Platz]])*Liste01[[#This Row],[ListPot]]</f>
        <v>41</v>
      </c>
      <c r="M45" s="14">
        <f>IF(AND(NOT(ISBLANK(E$3)),Liste01[[#This Row],[ListPotKum]]&lt;=Reststimmen),Liste01[[#This Row],[ListPot]],0)</f>
        <v>0</v>
      </c>
      <c r="N45" s="4">
        <f>MIN(SUMIFS(Liste01[Wahl],Liste01[Platz],Liste01[[#This Row],[Platz]]),3)*(Liste01[[#This Row],[Mult]]=1)*StimmenzahlOk</f>
        <v>0</v>
      </c>
      <c r="O45" s="15">
        <f>SUMIFS(Liste01[ListVerg],Liste01[Platz],Liste01[[#This Row],[Platz]])*(Liste01[[#This Row],[Mult]]=1)*ListenkreuzeOk</f>
        <v>0</v>
      </c>
      <c r="P45" s="4">
        <f>Liste01[[#This Row],[Liste]]+Liste01[[#This Row],[Einzel]]</f>
        <v>0</v>
      </c>
      <c r="R45" s="8"/>
      <c r="S45" s="3">
        <v>241</v>
      </c>
      <c r="T45" s="28" t="s">
        <v>363</v>
      </c>
      <c r="U45" s="9" t="b">
        <f>AND((Liste02[[#This Row],[Wahl]]=0),LEN(Liste02[[#This Row],[Wahl]])=1)</f>
        <v>0</v>
      </c>
      <c r="V45" s="9">
        <f t="array" ref="V45">SUM((ROW(Liste02[Platz])&lt;=ROW())*(Liste02[Platz]=Liste02[[#This Row],[Platz]])*NOT(Liste02[IstGestrichen]))*NOT(Liste02[[#This Row],[IstGestrichen]])</f>
        <v>1</v>
      </c>
      <c r="W45" s="9">
        <f t="array" ref="W45">MIN(SUMIFS(Liste02[Wahl],Liste02[Platz],Liste02[[#This Row],[Platz]]),3)</f>
        <v>0</v>
      </c>
      <c r="X45" s="9">
        <f>(Liste02[[#This Row],[Mult]]&gt;Liste02[[#This Row],[GülzST2]])*1*NOT(Liste02[[#This Row],[IstGestrichen]])</f>
        <v>1</v>
      </c>
      <c r="Y45" s="9">
        <f>SUMIFS(Liste02[ListPot],Liste02[Platz],Liste02[[#This Row],[Platz]],Liste02[Mult],"&lt;="&amp;Liste02[[#This Row],[Mult]])+SUMIFS(Liste02[ListPot],Liste02[Platz],"&lt;"&amp;Liste02[[#This Row],[Platz]])*Liste02[[#This Row],[ListPot]]</f>
        <v>41</v>
      </c>
      <c r="Z45" s="14">
        <f>IF(AND(NOT(ISBLANK(R$3)),Liste02[[#This Row],[ListPotKum]]&lt;=Reststimmen),Liste02[[#This Row],[ListPot]],0)</f>
        <v>0</v>
      </c>
      <c r="AA45" s="4">
        <f>MIN(SUMIFS(Liste02[Wahl],Liste02[Platz],Liste02[[#This Row],[Platz]]),3)*(Liste02[[#This Row],[Mult]]=1)*StimmenzahlOk</f>
        <v>0</v>
      </c>
      <c r="AB45" s="15">
        <f>SUMIFS(Liste02[ListVerg],Liste02[Platz],Liste02[[#This Row],[Platz]])*(Liste02[[#This Row],[Mult]]=1)*ListenkreuzeOk</f>
        <v>0</v>
      </c>
      <c r="AC45" s="4">
        <f>Liste02[[#This Row],[Liste]]+Liste02[[#This Row],[Einzel]]</f>
        <v>0</v>
      </c>
      <c r="AE45" s="8"/>
      <c r="AF45" s="3">
        <v>341</v>
      </c>
      <c r="AG45" s="28" t="s">
        <v>413</v>
      </c>
      <c r="AH45" s="9" t="b">
        <f>AND((Liste03[[#This Row],[Wahl]]=0),LEN(Liste03[[#This Row],[Wahl]])=1)</f>
        <v>0</v>
      </c>
      <c r="AI45" s="9">
        <f t="array" ref="AI45">SUM((ROW(Liste03[Platz])&lt;=ROW())*(Liste03[Platz]=Liste03[[#This Row],[Platz]])*NOT(Liste03[IstGestrichen]))*NOT(Liste03[[#This Row],[IstGestrichen]])</f>
        <v>1</v>
      </c>
      <c r="AJ45" s="9">
        <f t="array" ref="AJ45">MIN(SUMIFS(Liste03[Wahl],Liste03[Platz],Liste03[[#This Row],[Platz]]),3)</f>
        <v>0</v>
      </c>
      <c r="AK45" s="9">
        <f>(Liste03[[#This Row],[Mult]]&gt;Liste03[[#This Row],[GülzST2]])*1*NOT(Liste03[[#This Row],[IstGestrichen]])</f>
        <v>1</v>
      </c>
      <c r="AL45" s="9">
        <f>SUMIFS(Liste03[ListPot],Liste03[Platz],Liste03[[#This Row],[Platz]],Liste03[Mult],"&lt;="&amp;Liste03[[#This Row],[Mult]])+SUMIFS(Liste03[ListPot],Liste03[Platz],"&lt;"&amp;Liste03[[#This Row],[Platz]])*Liste03[[#This Row],[ListPot]]</f>
        <v>41</v>
      </c>
      <c r="AM45" s="14">
        <f>IF(AND(NOT(ISBLANK(AE$3)),Liste03[[#This Row],[ListPotKum]]&lt;=Reststimmen),Liste03[[#This Row],[ListPot]],0)</f>
        <v>0</v>
      </c>
      <c r="AN45" s="4">
        <f>MIN(SUMIFS(Liste03[Wahl],Liste03[Platz],Liste03[[#This Row],[Platz]]),3)*(Liste03[[#This Row],[Mult]]=1)*StimmenzahlOk</f>
        <v>0</v>
      </c>
      <c r="AO45" s="15">
        <f>SUMIFS(Liste03[ListVerg],Liste03[Platz],Liste03[[#This Row],[Platz]])*(Liste03[[#This Row],[Mult]]=1)*ListenkreuzeOk</f>
        <v>0</v>
      </c>
      <c r="AP45" s="4">
        <f>Liste03[[#This Row],[Liste]]+Liste03[[#This Row],[Einzel]]</f>
        <v>0</v>
      </c>
      <c r="AR45" s="8"/>
      <c r="AS45" s="3"/>
      <c r="AT45" s="28"/>
      <c r="AU45" t="b">
        <f>AND((Liste04[[#This Row],[Wahl]]=0),LEN(Liste04[[#This Row],[Wahl]])=1)</f>
        <v>0</v>
      </c>
      <c r="AV45">
        <f t="array" ref="AV45">SUM((ROW(Liste04[Platz])&lt;=ROW())*(Liste04[Platz]=Liste04[[#This Row],[Platz]])*NOT(Liste04[IstGestrichen]))*NOT(Liste04[[#This Row],[IstGestrichen]])</f>
        <v>41</v>
      </c>
      <c r="AW45">
        <f t="array" ref="AW45">MIN(SUMIFS(Liste04[Wahl],Liste04[Platz],Liste04[[#This Row],[Platz]]),3)</f>
        <v>0</v>
      </c>
      <c r="AX45">
        <f>(Liste04[[#This Row],[Mult]]&gt;Liste04[[#This Row],[GülzST2]])*1*NOT(Liste04[[#This Row],[IstGestrichen]])</f>
        <v>1</v>
      </c>
      <c r="AY45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5">
        <f>IF(AND(NOT(ISBLANK(AR$3)),Liste04[[#This Row],[ListPotKum]]&lt;=Reststimmen),Liste04[[#This Row],[ListPot]],0)</f>
        <v>0</v>
      </c>
      <c r="BA45" s="4">
        <f>MIN(SUMIFS(Liste04[Wahl],Liste04[Platz],Liste04[[#This Row],[Platz]]),3)*(Liste04[[#This Row],[Mult]]=1)*StimmenzahlOk</f>
        <v>0</v>
      </c>
      <c r="BB45" s="4">
        <f>SUMIFS(Liste04[ListVerg],Liste04[Platz],Liste04[[#This Row],[Platz]])*(Liste04[[#This Row],[Mult]]=1)*ListenkreuzeOk</f>
        <v>0</v>
      </c>
      <c r="BC45" s="4">
        <f>Liste04[[#This Row],[Liste]]+Liste04[[#This Row],[Einzel]]</f>
        <v>0</v>
      </c>
      <c r="BE45" s="8"/>
      <c r="BF45" s="3">
        <v>541</v>
      </c>
      <c r="BG45" s="28" t="s">
        <v>465</v>
      </c>
      <c r="BH45" s="9" t="b">
        <f>AND((Liste05[[#This Row],[Wahl]]=0),LEN(Liste05[[#This Row],[Wahl]])=1)</f>
        <v>0</v>
      </c>
      <c r="BI45" s="9">
        <f t="array" ref="BI45">SUM((ROW(Liste05[Platz])&lt;=ROW())*(Liste05[Platz]=Liste05[[#This Row],[Platz]])*NOT(Liste05[IstGestrichen]))*NOT(Liste05[[#This Row],[IstGestrichen]])</f>
        <v>1</v>
      </c>
      <c r="BJ45" s="9">
        <f t="array" ref="BJ45">MIN(SUMIFS(Liste05[Wahl],Liste05[Platz],Liste05[[#This Row],[Platz]]),3)</f>
        <v>0</v>
      </c>
      <c r="BK45" s="9">
        <f>(Liste05[[#This Row],[Mult]]&gt;Liste05[[#This Row],[GülzST2]])*1*NOT(Liste05[[#This Row],[IstGestrichen]])</f>
        <v>1</v>
      </c>
      <c r="BL45" s="9">
        <f>SUMIFS(Liste05[ListPot],Liste05[Platz],Liste05[[#This Row],[Platz]],Liste05[Mult],"&lt;="&amp;Liste05[[#This Row],[Mult]])+SUMIFS(Liste05[ListPot],Liste05[Platz],"&lt;"&amp;Liste05[[#This Row],[Platz]])*Liste05[[#This Row],[ListPot]]</f>
        <v>41</v>
      </c>
      <c r="BM45" s="14">
        <f>IF(AND(NOT(ISBLANK(BE$3)),Liste05[[#This Row],[ListPotKum]]&lt;=Reststimmen),Liste05[[#This Row],[ListPot]],0)</f>
        <v>0</v>
      </c>
      <c r="BN45" s="4">
        <f>MIN(SUMIFS(Liste05[Wahl],Liste05[Platz],Liste05[[#This Row],[Platz]]),3)*(Liste05[[#This Row],[Mult]]=1)*StimmenzahlOk</f>
        <v>0</v>
      </c>
      <c r="BO45" s="15">
        <f>SUMIFS(Liste05[ListVerg],Liste05[Platz],Liste05[[#This Row],[Platz]])*(Liste05[[#This Row],[Mult]]=1)*ListenkreuzeOk</f>
        <v>0</v>
      </c>
      <c r="BP45" s="4">
        <f>Liste05[[#This Row],[Liste]]+Liste05[[#This Row],[Einzel]]</f>
        <v>0</v>
      </c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E45" s="8"/>
      <c r="CF45" s="3">
        <v>741</v>
      </c>
      <c r="CG45" s="28" t="s">
        <v>515</v>
      </c>
      <c r="CH45" t="b">
        <f>AND((Liste07[[#This Row],[Wahl]]=0),LEN(Liste07[[#This Row],[Wahl]])=1)</f>
        <v>0</v>
      </c>
      <c r="CI45">
        <f t="array" ref="CI45">SUM((ROW(Liste07[Platz])&lt;=ROW())*(Liste07[Platz]=Liste07[[#This Row],[Platz]])*NOT(Liste07[IstGestrichen]))*NOT(Liste07[[#This Row],[IstGestrichen]])</f>
        <v>1</v>
      </c>
      <c r="CJ45">
        <f t="array" ref="CJ45">MIN(SUMIFS(Liste07[Wahl],Liste07[Platz],Liste07[[#This Row],[Platz]]),3)</f>
        <v>0</v>
      </c>
      <c r="CK45">
        <f>(Liste07[[#This Row],[Mult]]&gt;Liste07[[#This Row],[GülzST2]])*1*NOT(Liste07[[#This Row],[IstGestrichen]])</f>
        <v>1</v>
      </c>
      <c r="CL45">
        <f>SUMIFS(Liste07[ListPot],Liste07[Platz],Liste07[[#This Row],[Platz]],Liste07[Mult],"&lt;="&amp;Liste07[[#This Row],[Mult]])+SUMIFS(Liste07[ListPot],Liste07[Platz],"&lt;"&amp;Liste07[[#This Row],[Platz]])*Liste07[[#This Row],[ListPot]]</f>
        <v>41</v>
      </c>
      <c r="CM45">
        <f>IF(AND(NOT(ISBLANK(CE$3)),Liste07[[#This Row],[ListPotKum]]&lt;=Reststimmen),Liste07[[#This Row],[ListPot]],0)</f>
        <v>0</v>
      </c>
      <c r="CN45" s="4">
        <f>MIN(SUMIFS(Liste07[Wahl],Liste07[Platz],Liste07[[#This Row],[Platz]]),3)*(Liste07[[#This Row],[Mult]]=1)*StimmenzahlOk</f>
        <v>0</v>
      </c>
      <c r="CO45" s="4">
        <f>SUMIFS(Liste07[ListVerg],Liste07[Platz],Liste07[[#This Row],[Platz]])*(Liste07[[#This Row],[Mult]]=1)*ListenkreuzeOk</f>
        <v>0</v>
      </c>
      <c r="CP45" s="4">
        <f>Liste07[[#This Row],[Liste]]+Liste07[[#This Row],[Einzel]]</f>
        <v>0</v>
      </c>
      <c r="CR45" s="8"/>
      <c r="CS45" s="3">
        <v>841</v>
      </c>
      <c r="CT45" s="28" t="s">
        <v>566</v>
      </c>
      <c r="CU45" s="9" t="b">
        <f>AND((Liste08[[#This Row],[Wahl]]=0),LEN(Liste08[[#This Row],[Wahl]])=1)</f>
        <v>0</v>
      </c>
      <c r="CV45" s="9">
        <f t="array" ref="CV45">SUM((ROW(Liste08[Platz])&lt;=ROW())*(Liste08[Platz]=Liste08[[#This Row],[Platz]])*NOT(Liste08[IstGestrichen]))*NOT(Liste08[[#This Row],[IstGestrichen]])</f>
        <v>1</v>
      </c>
      <c r="CW45" s="9">
        <f t="array" ref="CW45">MIN(SUMIFS(Liste08[Wahl],Liste08[Platz],Liste08[[#This Row],[Platz]]),3)</f>
        <v>0</v>
      </c>
      <c r="CX45" s="9">
        <f>(Liste08[[#This Row],[Mult]]&gt;Liste08[[#This Row],[GülzST2]])*1*NOT(Liste08[[#This Row],[IstGestrichen]])</f>
        <v>1</v>
      </c>
      <c r="CY45" s="9">
        <f>SUMIFS(Liste08[ListPot],Liste08[Platz],Liste08[[#This Row],[Platz]],Liste08[Mult],"&lt;="&amp;Liste08[[#This Row],[Mult]])+SUMIFS(Liste08[ListPot],Liste08[Platz],"&lt;"&amp;Liste08[[#This Row],[Platz]])*Liste08[[#This Row],[ListPot]]</f>
        <v>41</v>
      </c>
      <c r="CZ45" s="9">
        <f>IF(AND(NOT(ISBLANK(CR$3)),Liste08[[#This Row],[ListPotKum]]&lt;=Reststimmen),Liste08[[#This Row],[ListPot]],0)</f>
        <v>0</v>
      </c>
      <c r="DA45" s="4">
        <f>MIN(SUMIFS(Liste08[Wahl],Liste08[Platz],Liste08[[#This Row],[Platz]]),3)*(Liste08[[#This Row],[Mult]]=1)*StimmenzahlOk</f>
        <v>0</v>
      </c>
      <c r="DB45" s="4">
        <f>SUMIFS(Liste08[ListVerg],Liste08[Platz],Liste08[[#This Row],[Platz]])*(Liste08[[#This Row],[Mult]]=1)*ListenkreuzeOk</f>
        <v>0</v>
      </c>
      <c r="DC45" s="4">
        <f>Liste08[[#This Row],[Liste]]+Liste08[[#This Row],[Einzel]]</f>
        <v>0</v>
      </c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</row>
    <row r="46" spans="1:120" s="17" customFormat="1" ht="15.75" x14ac:dyDescent="0.25">
      <c r="E46" s="8"/>
      <c r="F46" s="3">
        <v>142</v>
      </c>
      <c r="G46" s="2" t="s">
        <v>314</v>
      </c>
      <c r="H46" s="9" t="b">
        <f>AND((Liste01[[#This Row],[Wahl]]=0),LEN(Liste01[[#This Row],[Wahl]])=1)</f>
        <v>0</v>
      </c>
      <c r="I46" s="9">
        <f t="array" ref="I46">SUM((ROW(Liste01[Platz])&lt;=ROW())*(Liste01[Platz]=Liste01[[#This Row],[Platz]])*NOT(Liste01[IstGestrichen]))*NOT(Liste01[[#This Row],[IstGestrichen]])</f>
        <v>1</v>
      </c>
      <c r="J46" s="9">
        <f t="array" ref="J46">MIN(SUMIFS(Liste01[Wahl],Liste01[Platz],Liste01[[#This Row],[Platz]]),3)</f>
        <v>0</v>
      </c>
      <c r="K46" s="9">
        <f>(Liste01[[#This Row],[Mult]]&gt;Liste01[[#This Row],[GülzST2]])*1*NOT(Liste01[[#This Row],[IstGestrichen]])</f>
        <v>1</v>
      </c>
      <c r="L46" s="9">
        <f>SUMIFS(Liste01[ListPot],Liste01[Platz],Liste01[[#This Row],[Platz]],Liste01[Mult],"&lt;="&amp;Liste01[[#This Row],[Mult]])+SUMIFS(Liste01[ListPot],Liste01[Platz],"&lt;"&amp;Liste01[[#This Row],[Platz]])*Liste01[[#This Row],[ListPot]]</f>
        <v>42</v>
      </c>
      <c r="M46" s="14">
        <f>IF(AND(NOT(ISBLANK(E$3)),Liste01[[#This Row],[ListPotKum]]&lt;=Reststimmen),Liste01[[#This Row],[ListPot]],0)</f>
        <v>0</v>
      </c>
      <c r="N46" s="4">
        <f>MIN(SUMIFS(Liste01[Wahl],Liste01[Platz],Liste01[[#This Row],[Platz]]),3)*(Liste01[[#This Row],[Mult]]=1)*StimmenzahlOk</f>
        <v>0</v>
      </c>
      <c r="O46" s="15">
        <f>SUMIFS(Liste01[ListVerg],Liste01[Platz],Liste01[[#This Row],[Platz]])*(Liste01[[#This Row],[Mult]]=1)*ListenkreuzeOk</f>
        <v>0</v>
      </c>
      <c r="P46" s="4">
        <f>Liste01[[#This Row],[Liste]]+Liste01[[#This Row],[Einzel]]</f>
        <v>0</v>
      </c>
      <c r="R46" s="8"/>
      <c r="S46" s="3">
        <v>242</v>
      </c>
      <c r="T46" s="28" t="s">
        <v>364</v>
      </c>
      <c r="U46" s="9" t="b">
        <f>AND((Liste02[[#This Row],[Wahl]]=0),LEN(Liste02[[#This Row],[Wahl]])=1)</f>
        <v>0</v>
      </c>
      <c r="V46" s="9">
        <f t="array" ref="V46">SUM((ROW(Liste02[Platz])&lt;=ROW())*(Liste02[Platz]=Liste02[[#This Row],[Platz]])*NOT(Liste02[IstGestrichen]))*NOT(Liste02[[#This Row],[IstGestrichen]])</f>
        <v>1</v>
      </c>
      <c r="W46" s="9">
        <f t="array" ref="W46">MIN(SUMIFS(Liste02[Wahl],Liste02[Platz],Liste02[[#This Row],[Platz]]),3)</f>
        <v>0</v>
      </c>
      <c r="X46" s="9">
        <f>(Liste02[[#This Row],[Mult]]&gt;Liste02[[#This Row],[GülzST2]])*1*NOT(Liste02[[#This Row],[IstGestrichen]])</f>
        <v>1</v>
      </c>
      <c r="Y46" s="9">
        <f>SUMIFS(Liste02[ListPot],Liste02[Platz],Liste02[[#This Row],[Platz]],Liste02[Mult],"&lt;="&amp;Liste02[[#This Row],[Mult]])+SUMIFS(Liste02[ListPot],Liste02[Platz],"&lt;"&amp;Liste02[[#This Row],[Platz]])*Liste02[[#This Row],[ListPot]]</f>
        <v>42</v>
      </c>
      <c r="Z46" s="14">
        <f>IF(AND(NOT(ISBLANK(R$3)),Liste02[[#This Row],[ListPotKum]]&lt;=Reststimmen),Liste02[[#This Row],[ListPot]],0)</f>
        <v>0</v>
      </c>
      <c r="AA46" s="4">
        <f>MIN(SUMIFS(Liste02[Wahl],Liste02[Platz],Liste02[[#This Row],[Platz]]),3)*(Liste02[[#This Row],[Mult]]=1)*StimmenzahlOk</f>
        <v>0</v>
      </c>
      <c r="AB46" s="15">
        <f>SUMIFS(Liste02[ListVerg],Liste02[Platz],Liste02[[#This Row],[Platz]])*(Liste02[[#This Row],[Mult]]=1)*ListenkreuzeOk</f>
        <v>0</v>
      </c>
      <c r="AC46" s="4">
        <f>Liste02[[#This Row],[Liste]]+Liste02[[#This Row],[Einzel]]</f>
        <v>0</v>
      </c>
      <c r="AE46" s="8"/>
      <c r="AF46" s="3">
        <v>342</v>
      </c>
      <c r="AG46" s="28" t="s">
        <v>414</v>
      </c>
      <c r="AH46" s="9" t="b">
        <f>AND((Liste03[[#This Row],[Wahl]]=0),LEN(Liste03[[#This Row],[Wahl]])=1)</f>
        <v>0</v>
      </c>
      <c r="AI46" s="9">
        <f t="array" ref="AI46">SUM((ROW(Liste03[Platz])&lt;=ROW())*(Liste03[Platz]=Liste03[[#This Row],[Platz]])*NOT(Liste03[IstGestrichen]))*NOT(Liste03[[#This Row],[IstGestrichen]])</f>
        <v>1</v>
      </c>
      <c r="AJ46" s="9">
        <f t="array" ref="AJ46">MIN(SUMIFS(Liste03[Wahl],Liste03[Platz],Liste03[[#This Row],[Platz]]),3)</f>
        <v>0</v>
      </c>
      <c r="AK46" s="9">
        <f>(Liste03[[#This Row],[Mult]]&gt;Liste03[[#This Row],[GülzST2]])*1*NOT(Liste03[[#This Row],[IstGestrichen]])</f>
        <v>1</v>
      </c>
      <c r="AL46" s="9">
        <f>SUMIFS(Liste03[ListPot],Liste03[Platz],Liste03[[#This Row],[Platz]],Liste03[Mult],"&lt;="&amp;Liste03[[#This Row],[Mult]])+SUMIFS(Liste03[ListPot],Liste03[Platz],"&lt;"&amp;Liste03[[#This Row],[Platz]])*Liste03[[#This Row],[ListPot]]</f>
        <v>42</v>
      </c>
      <c r="AM46" s="14">
        <f>IF(AND(NOT(ISBLANK(AE$3)),Liste03[[#This Row],[ListPotKum]]&lt;=Reststimmen),Liste03[[#This Row],[ListPot]],0)</f>
        <v>0</v>
      </c>
      <c r="AN46" s="4">
        <f>MIN(SUMIFS(Liste03[Wahl],Liste03[Platz],Liste03[[#This Row],[Platz]]),3)*(Liste03[[#This Row],[Mult]]=1)*StimmenzahlOk</f>
        <v>0</v>
      </c>
      <c r="AO46" s="15">
        <f>SUMIFS(Liste03[ListVerg],Liste03[Platz],Liste03[[#This Row],[Platz]])*(Liste03[[#This Row],[Mult]]=1)*ListenkreuzeOk</f>
        <v>0</v>
      </c>
      <c r="AP46" s="4">
        <f>Liste03[[#This Row],[Liste]]+Liste03[[#This Row],[Einzel]]</f>
        <v>0</v>
      </c>
      <c r="AR46" s="8"/>
      <c r="AS46" s="3"/>
      <c r="AT46" s="28"/>
      <c r="AU46" t="b">
        <f>AND((Liste04[[#This Row],[Wahl]]=0),LEN(Liste04[[#This Row],[Wahl]])=1)</f>
        <v>0</v>
      </c>
      <c r="AV46">
        <f t="array" ref="AV46">SUM((ROW(Liste04[Platz])&lt;=ROW())*(Liste04[Platz]=Liste04[[#This Row],[Platz]])*NOT(Liste04[IstGestrichen]))*NOT(Liste04[[#This Row],[IstGestrichen]])</f>
        <v>42</v>
      </c>
      <c r="AW46">
        <f t="array" ref="AW46">MIN(SUMIFS(Liste04[Wahl],Liste04[Platz],Liste04[[#This Row],[Platz]]),3)</f>
        <v>0</v>
      </c>
      <c r="AX46">
        <f>(Liste04[[#This Row],[Mult]]&gt;Liste04[[#This Row],[GülzST2]])*1*NOT(Liste04[[#This Row],[IstGestrichen]])</f>
        <v>1</v>
      </c>
      <c r="AY46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6">
        <f>IF(AND(NOT(ISBLANK(AR$3)),Liste04[[#This Row],[ListPotKum]]&lt;=Reststimmen),Liste04[[#This Row],[ListPot]],0)</f>
        <v>0</v>
      </c>
      <c r="BA46" s="4">
        <f>MIN(SUMIFS(Liste04[Wahl],Liste04[Platz],Liste04[[#This Row],[Platz]]),3)*(Liste04[[#This Row],[Mult]]=1)*StimmenzahlOk</f>
        <v>0</v>
      </c>
      <c r="BB46" s="4">
        <f>SUMIFS(Liste04[ListVerg],Liste04[Platz],Liste04[[#This Row],[Platz]])*(Liste04[[#This Row],[Mult]]=1)*ListenkreuzeOk</f>
        <v>0</v>
      </c>
      <c r="BC46" s="4">
        <f>Liste04[[#This Row],[Liste]]+Liste04[[#This Row],[Einzel]]</f>
        <v>0</v>
      </c>
      <c r="BE46" s="8"/>
      <c r="BF46" s="3">
        <v>542</v>
      </c>
      <c r="BG46" s="28" t="s">
        <v>466</v>
      </c>
      <c r="BH46" s="9" t="b">
        <f>AND((Liste05[[#This Row],[Wahl]]=0),LEN(Liste05[[#This Row],[Wahl]])=1)</f>
        <v>0</v>
      </c>
      <c r="BI46" s="9">
        <f t="array" ref="BI46">SUM((ROW(Liste05[Platz])&lt;=ROW())*(Liste05[Platz]=Liste05[[#This Row],[Platz]])*NOT(Liste05[IstGestrichen]))*NOT(Liste05[[#This Row],[IstGestrichen]])</f>
        <v>1</v>
      </c>
      <c r="BJ46" s="9">
        <f t="array" ref="BJ46">MIN(SUMIFS(Liste05[Wahl],Liste05[Platz],Liste05[[#This Row],[Platz]]),3)</f>
        <v>0</v>
      </c>
      <c r="BK46" s="9">
        <f>(Liste05[[#This Row],[Mult]]&gt;Liste05[[#This Row],[GülzST2]])*1*NOT(Liste05[[#This Row],[IstGestrichen]])</f>
        <v>1</v>
      </c>
      <c r="BL46" s="9">
        <f>SUMIFS(Liste05[ListPot],Liste05[Platz],Liste05[[#This Row],[Platz]],Liste05[Mult],"&lt;="&amp;Liste05[[#This Row],[Mult]])+SUMIFS(Liste05[ListPot],Liste05[Platz],"&lt;"&amp;Liste05[[#This Row],[Platz]])*Liste05[[#This Row],[ListPot]]</f>
        <v>42</v>
      </c>
      <c r="BM46" s="14">
        <f>IF(AND(NOT(ISBLANK(BE$3)),Liste05[[#This Row],[ListPotKum]]&lt;=Reststimmen),Liste05[[#This Row],[ListPot]],0)</f>
        <v>0</v>
      </c>
      <c r="BN46" s="4">
        <f>MIN(SUMIFS(Liste05[Wahl],Liste05[Platz],Liste05[[#This Row],[Platz]]),3)*(Liste05[[#This Row],[Mult]]=1)*StimmenzahlOk</f>
        <v>0</v>
      </c>
      <c r="BO46" s="15">
        <f>SUMIFS(Liste05[ListVerg],Liste05[Platz],Liste05[[#This Row],[Platz]])*(Liste05[[#This Row],[Mult]]=1)*ListenkreuzeOk</f>
        <v>0</v>
      </c>
      <c r="BP46" s="4">
        <f>Liste05[[#This Row],[Liste]]+Liste05[[#This Row],[Einzel]]</f>
        <v>0</v>
      </c>
      <c r="CE46" s="8"/>
      <c r="CF46" s="3">
        <v>742</v>
      </c>
      <c r="CG46" s="28" t="s">
        <v>516</v>
      </c>
      <c r="CH46" s="9" t="b">
        <f>AND((Liste07[[#This Row],[Wahl]]=0),LEN(Liste07[[#This Row],[Wahl]])=1)</f>
        <v>0</v>
      </c>
      <c r="CI46" s="9">
        <f t="array" ref="CI46">SUM((ROW(Liste07[Platz])&lt;=ROW())*(Liste07[Platz]=Liste07[[#This Row],[Platz]])*NOT(Liste07[IstGestrichen]))*NOT(Liste07[[#This Row],[IstGestrichen]])</f>
        <v>1</v>
      </c>
      <c r="CJ46" s="9">
        <f t="array" ref="CJ46">MIN(SUMIFS(Liste07[Wahl],Liste07[Platz],Liste07[[#This Row],[Platz]]),3)</f>
        <v>0</v>
      </c>
      <c r="CK46" s="9">
        <f>(Liste07[[#This Row],[Mult]]&gt;Liste07[[#This Row],[GülzST2]])*1*NOT(Liste07[[#This Row],[IstGestrichen]])</f>
        <v>1</v>
      </c>
      <c r="CL46" s="9">
        <f>SUMIFS(Liste07[ListPot],Liste07[Platz],Liste07[[#This Row],[Platz]],Liste07[Mult],"&lt;="&amp;Liste07[[#This Row],[Mult]])+SUMIFS(Liste07[ListPot],Liste07[Platz],"&lt;"&amp;Liste07[[#This Row],[Platz]])*Liste07[[#This Row],[ListPot]]</f>
        <v>42</v>
      </c>
      <c r="CM46" s="14">
        <f>IF(AND(NOT(ISBLANK(CE$3)),Liste07[[#This Row],[ListPotKum]]&lt;=Reststimmen),Liste07[[#This Row],[ListPot]],0)</f>
        <v>0</v>
      </c>
      <c r="CN46" s="4">
        <f>MIN(SUMIFS(Liste07[Wahl],Liste07[Platz],Liste07[[#This Row],[Platz]]),3)*(Liste07[[#This Row],[Mult]]=1)*StimmenzahlOk</f>
        <v>0</v>
      </c>
      <c r="CO46" s="15">
        <f>SUMIFS(Liste07[ListVerg],Liste07[Platz],Liste07[[#This Row],[Platz]])*(Liste07[[#This Row],[Mult]]=1)*ListenkreuzeOk</f>
        <v>0</v>
      </c>
      <c r="CP46" s="4">
        <f>Liste07[[#This Row],[Liste]]+Liste07[[#This Row],[Einzel]]</f>
        <v>0</v>
      </c>
      <c r="CR46" s="8"/>
      <c r="CS46" s="3">
        <v>842</v>
      </c>
      <c r="CT46" s="28" t="s">
        <v>567</v>
      </c>
      <c r="CU46" s="9" t="b">
        <f>AND((Liste08[[#This Row],[Wahl]]=0),LEN(Liste08[[#This Row],[Wahl]])=1)</f>
        <v>0</v>
      </c>
      <c r="CV46" s="9">
        <f t="array" ref="CV46">SUM((ROW(Liste08[Platz])&lt;=ROW())*(Liste08[Platz]=Liste08[[#This Row],[Platz]])*NOT(Liste08[IstGestrichen]))*NOT(Liste08[[#This Row],[IstGestrichen]])</f>
        <v>1</v>
      </c>
      <c r="CW46" s="9">
        <f t="array" ref="CW46">MIN(SUMIFS(Liste08[Wahl],Liste08[Platz],Liste08[[#This Row],[Platz]]),3)</f>
        <v>0</v>
      </c>
      <c r="CX46" s="9">
        <f>(Liste08[[#This Row],[Mult]]&gt;Liste08[[#This Row],[GülzST2]])*1*NOT(Liste08[[#This Row],[IstGestrichen]])</f>
        <v>1</v>
      </c>
      <c r="CY46" s="9">
        <f>SUMIFS(Liste08[ListPot],Liste08[Platz],Liste08[[#This Row],[Platz]],Liste08[Mult],"&lt;="&amp;Liste08[[#This Row],[Mult]])+SUMIFS(Liste08[ListPot],Liste08[Platz],"&lt;"&amp;Liste08[[#This Row],[Platz]])*Liste08[[#This Row],[ListPot]]</f>
        <v>42</v>
      </c>
      <c r="CZ46" s="14">
        <f>IF(AND(NOT(ISBLANK(CR$3)),Liste08[[#This Row],[ListPotKum]]&lt;=Reststimmen),Liste08[[#This Row],[ListPot]],0)</f>
        <v>0</v>
      </c>
      <c r="DA46" s="4">
        <f>MIN(SUMIFS(Liste08[Wahl],Liste08[Platz],Liste08[[#This Row],[Platz]]),3)*(Liste08[[#This Row],[Mult]]=1)*StimmenzahlOk</f>
        <v>0</v>
      </c>
      <c r="DB46" s="15">
        <f>SUMIFS(Liste08[ListVerg],Liste08[Platz],Liste08[[#This Row],[Platz]])*(Liste08[[#This Row],[Mult]]=1)*ListenkreuzeOk</f>
        <v>0</v>
      </c>
      <c r="DC46" s="4">
        <f>Liste08[[#This Row],[Liste]]+Liste08[[#This Row],[Einzel]]</f>
        <v>0</v>
      </c>
    </row>
    <row r="47" spans="1:120" s="17" customFormat="1" ht="15.75" x14ac:dyDescent="0.25">
      <c r="E47" s="8"/>
      <c r="F47" s="3">
        <v>143</v>
      </c>
      <c r="G47" s="2" t="s">
        <v>315</v>
      </c>
      <c r="H47" s="9" t="b">
        <f>AND((Liste01[[#This Row],[Wahl]]=0),LEN(Liste01[[#This Row],[Wahl]])=1)</f>
        <v>0</v>
      </c>
      <c r="I47" s="9">
        <f t="array" ref="I47">SUM((ROW(Liste01[Platz])&lt;=ROW())*(Liste01[Platz]=Liste01[[#This Row],[Platz]])*NOT(Liste01[IstGestrichen]))*NOT(Liste01[[#This Row],[IstGestrichen]])</f>
        <v>1</v>
      </c>
      <c r="J47" s="9">
        <f t="array" ref="J47">MIN(SUMIFS(Liste01[Wahl],Liste01[Platz],Liste01[[#This Row],[Platz]]),3)</f>
        <v>0</v>
      </c>
      <c r="K47" s="9">
        <f>(Liste01[[#This Row],[Mult]]&gt;Liste01[[#This Row],[GülzST2]])*1*NOT(Liste01[[#This Row],[IstGestrichen]])</f>
        <v>1</v>
      </c>
      <c r="L47" s="9">
        <f>SUMIFS(Liste01[ListPot],Liste01[Platz],Liste01[[#This Row],[Platz]],Liste01[Mult],"&lt;="&amp;Liste01[[#This Row],[Mult]])+SUMIFS(Liste01[ListPot],Liste01[Platz],"&lt;"&amp;Liste01[[#This Row],[Platz]])*Liste01[[#This Row],[ListPot]]</f>
        <v>43</v>
      </c>
      <c r="M47" s="14">
        <f>IF(AND(NOT(ISBLANK(E$3)),Liste01[[#This Row],[ListPotKum]]&lt;=Reststimmen),Liste01[[#This Row],[ListPot]],0)</f>
        <v>0</v>
      </c>
      <c r="N47" s="4">
        <f>MIN(SUMIFS(Liste01[Wahl],Liste01[Platz],Liste01[[#This Row],[Platz]]),3)*(Liste01[[#This Row],[Mult]]=1)*StimmenzahlOk</f>
        <v>0</v>
      </c>
      <c r="O47" s="15">
        <f>SUMIFS(Liste01[ListVerg],Liste01[Platz],Liste01[[#This Row],[Platz]])*(Liste01[[#This Row],[Mult]]=1)*ListenkreuzeOk</f>
        <v>0</v>
      </c>
      <c r="P47" s="4">
        <f>Liste01[[#This Row],[Liste]]+Liste01[[#This Row],[Einzel]]</f>
        <v>0</v>
      </c>
      <c r="R47" s="8"/>
      <c r="S47" s="3">
        <v>243</v>
      </c>
      <c r="T47" s="28" t="s">
        <v>365</v>
      </c>
      <c r="U47" s="9" t="b">
        <f>AND((Liste02[[#This Row],[Wahl]]=0),LEN(Liste02[[#This Row],[Wahl]])=1)</f>
        <v>0</v>
      </c>
      <c r="V47" s="9">
        <f t="array" ref="V47">SUM((ROW(Liste02[Platz])&lt;=ROW())*(Liste02[Platz]=Liste02[[#This Row],[Platz]])*NOT(Liste02[IstGestrichen]))*NOT(Liste02[[#This Row],[IstGestrichen]])</f>
        <v>1</v>
      </c>
      <c r="W47" s="9">
        <f t="array" ref="W47">MIN(SUMIFS(Liste02[Wahl],Liste02[Platz],Liste02[[#This Row],[Platz]]),3)</f>
        <v>0</v>
      </c>
      <c r="X47" s="9">
        <f>(Liste02[[#This Row],[Mult]]&gt;Liste02[[#This Row],[GülzST2]])*1*NOT(Liste02[[#This Row],[IstGestrichen]])</f>
        <v>1</v>
      </c>
      <c r="Y47" s="9">
        <f>SUMIFS(Liste02[ListPot],Liste02[Platz],Liste02[[#This Row],[Platz]],Liste02[Mult],"&lt;="&amp;Liste02[[#This Row],[Mult]])+SUMIFS(Liste02[ListPot],Liste02[Platz],"&lt;"&amp;Liste02[[#This Row],[Platz]])*Liste02[[#This Row],[ListPot]]</f>
        <v>43</v>
      </c>
      <c r="Z47" s="14">
        <f>IF(AND(NOT(ISBLANK(R$3)),Liste02[[#This Row],[ListPotKum]]&lt;=Reststimmen),Liste02[[#This Row],[ListPot]],0)</f>
        <v>0</v>
      </c>
      <c r="AA47" s="4">
        <f>MIN(SUMIFS(Liste02[Wahl],Liste02[Platz],Liste02[[#This Row],[Platz]]),3)*(Liste02[[#This Row],[Mult]]=1)*StimmenzahlOk</f>
        <v>0</v>
      </c>
      <c r="AB47" s="15">
        <f>SUMIFS(Liste02[ListVerg],Liste02[Platz],Liste02[[#This Row],[Platz]])*(Liste02[[#This Row],[Mult]]=1)*ListenkreuzeOk</f>
        <v>0</v>
      </c>
      <c r="AC47" s="4">
        <f>Liste02[[#This Row],[Liste]]+Liste02[[#This Row],[Einzel]]</f>
        <v>0</v>
      </c>
      <c r="AE47" s="8"/>
      <c r="AF47" s="3">
        <v>343</v>
      </c>
      <c r="AG47" s="28" t="s">
        <v>415</v>
      </c>
      <c r="AH47" s="9" t="b">
        <f>AND((Liste03[[#This Row],[Wahl]]=0),LEN(Liste03[[#This Row],[Wahl]])=1)</f>
        <v>0</v>
      </c>
      <c r="AI47" s="9">
        <f t="array" ref="AI47">SUM((ROW(Liste03[Platz])&lt;=ROW())*(Liste03[Platz]=Liste03[[#This Row],[Platz]])*NOT(Liste03[IstGestrichen]))*NOT(Liste03[[#This Row],[IstGestrichen]])</f>
        <v>1</v>
      </c>
      <c r="AJ47" s="9">
        <f t="array" ref="AJ47">MIN(SUMIFS(Liste03[Wahl],Liste03[Platz],Liste03[[#This Row],[Platz]]),3)</f>
        <v>0</v>
      </c>
      <c r="AK47" s="9">
        <f>(Liste03[[#This Row],[Mult]]&gt;Liste03[[#This Row],[GülzST2]])*1*NOT(Liste03[[#This Row],[IstGestrichen]])</f>
        <v>1</v>
      </c>
      <c r="AL47" s="9">
        <f>SUMIFS(Liste03[ListPot],Liste03[Platz],Liste03[[#This Row],[Platz]],Liste03[Mult],"&lt;="&amp;Liste03[[#This Row],[Mult]])+SUMIFS(Liste03[ListPot],Liste03[Platz],"&lt;"&amp;Liste03[[#This Row],[Platz]])*Liste03[[#This Row],[ListPot]]</f>
        <v>43</v>
      </c>
      <c r="AM47" s="14">
        <f>IF(AND(NOT(ISBLANK(AE$3)),Liste03[[#This Row],[ListPotKum]]&lt;=Reststimmen),Liste03[[#This Row],[ListPot]],0)</f>
        <v>0</v>
      </c>
      <c r="AN47" s="4">
        <f>MIN(SUMIFS(Liste03[Wahl],Liste03[Platz],Liste03[[#This Row],[Platz]]),3)*(Liste03[[#This Row],[Mult]]=1)*StimmenzahlOk</f>
        <v>0</v>
      </c>
      <c r="AO47" s="15">
        <f>SUMIFS(Liste03[ListVerg],Liste03[Platz],Liste03[[#This Row],[Platz]])*(Liste03[[#This Row],[Mult]]=1)*ListenkreuzeOk</f>
        <v>0</v>
      </c>
      <c r="AP47" s="4">
        <f>Liste03[[#This Row],[Liste]]+Liste03[[#This Row],[Einzel]]</f>
        <v>0</v>
      </c>
      <c r="AR47" s="8"/>
      <c r="AS47" s="3"/>
      <c r="AT47" s="28"/>
      <c r="AU47" s="9" t="b">
        <f>AND((Liste04[[#This Row],[Wahl]]=0),LEN(Liste04[[#This Row],[Wahl]])=1)</f>
        <v>0</v>
      </c>
      <c r="AV47" s="9">
        <f t="array" ref="AV47">SUM((ROW(Liste04[Platz])&lt;=ROW())*(Liste04[Platz]=Liste04[[#This Row],[Platz]])*NOT(Liste04[IstGestrichen]))*NOT(Liste04[[#This Row],[IstGestrichen]])</f>
        <v>43</v>
      </c>
      <c r="AW47" s="9">
        <f t="array" ref="AW47">MIN(SUMIFS(Liste04[Wahl],Liste04[Platz],Liste04[[#This Row],[Platz]]),3)</f>
        <v>0</v>
      </c>
      <c r="AX47" s="9">
        <f>(Liste04[[#This Row],[Mult]]&gt;Liste04[[#This Row],[GülzST2]])*1*NOT(Liste04[[#This Row],[IstGestrichen]])</f>
        <v>1</v>
      </c>
      <c r="AY47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7" s="14">
        <f>IF(AND(NOT(ISBLANK(AR$3)),Liste04[[#This Row],[ListPotKum]]&lt;=Reststimmen),Liste04[[#This Row],[ListPot]],0)</f>
        <v>0</v>
      </c>
      <c r="BA47" s="4">
        <f>MIN(SUMIFS(Liste04[Wahl],Liste04[Platz],Liste04[[#This Row],[Platz]]),3)*(Liste04[[#This Row],[Mult]]=1)*StimmenzahlOk</f>
        <v>0</v>
      </c>
      <c r="BB47" s="15">
        <f>SUMIFS(Liste04[ListVerg],Liste04[Platz],Liste04[[#This Row],[Platz]])*(Liste04[[#This Row],[Mult]]=1)*ListenkreuzeOk</f>
        <v>0</v>
      </c>
      <c r="BC47" s="4">
        <f>Liste04[[#This Row],[Liste]]+Liste04[[#This Row],[Einzel]]</f>
        <v>0</v>
      </c>
      <c r="BE47" s="8"/>
      <c r="BF47" s="3">
        <v>543</v>
      </c>
      <c r="BG47" s="28" t="s">
        <v>467</v>
      </c>
      <c r="BH47" s="9" t="b">
        <f>AND((Liste05[[#This Row],[Wahl]]=0),LEN(Liste05[[#This Row],[Wahl]])=1)</f>
        <v>0</v>
      </c>
      <c r="BI47" s="9">
        <f t="array" ref="BI47">SUM((ROW(Liste05[Platz])&lt;=ROW())*(Liste05[Platz]=Liste05[[#This Row],[Platz]])*NOT(Liste05[IstGestrichen]))*NOT(Liste05[[#This Row],[IstGestrichen]])</f>
        <v>1</v>
      </c>
      <c r="BJ47" s="9">
        <f t="array" ref="BJ47">MIN(SUMIFS(Liste05[Wahl],Liste05[Platz],Liste05[[#This Row],[Platz]]),3)</f>
        <v>0</v>
      </c>
      <c r="BK47" s="9">
        <f>(Liste05[[#This Row],[Mult]]&gt;Liste05[[#This Row],[GülzST2]])*1*NOT(Liste05[[#This Row],[IstGestrichen]])</f>
        <v>1</v>
      </c>
      <c r="BL47" s="9">
        <f>SUMIFS(Liste05[ListPot],Liste05[Platz],Liste05[[#This Row],[Platz]],Liste05[Mult],"&lt;="&amp;Liste05[[#This Row],[Mult]])+SUMIFS(Liste05[ListPot],Liste05[Platz],"&lt;"&amp;Liste05[[#This Row],[Platz]])*Liste05[[#This Row],[ListPot]]</f>
        <v>43</v>
      </c>
      <c r="BM47" s="14">
        <f>IF(AND(NOT(ISBLANK(BE$3)),Liste05[[#This Row],[ListPotKum]]&lt;=Reststimmen),Liste05[[#This Row],[ListPot]],0)</f>
        <v>0</v>
      </c>
      <c r="BN47" s="4">
        <f>MIN(SUMIFS(Liste05[Wahl],Liste05[Platz],Liste05[[#This Row],[Platz]]),3)*(Liste05[[#This Row],[Mult]]=1)*StimmenzahlOk</f>
        <v>0</v>
      </c>
      <c r="BO47" s="15">
        <f>SUMIFS(Liste05[ListVerg],Liste05[Platz],Liste05[[#This Row],[Platz]])*(Liste05[[#This Row],[Mult]]=1)*ListenkreuzeOk</f>
        <v>0</v>
      </c>
      <c r="BP47" s="4">
        <f>Liste05[[#This Row],[Liste]]+Liste05[[#This Row],[Einzel]]</f>
        <v>0</v>
      </c>
      <c r="CE47" s="8"/>
      <c r="CF47" s="3">
        <v>743</v>
      </c>
      <c r="CG47" s="28" t="s">
        <v>517</v>
      </c>
      <c r="CH47" s="9" t="b">
        <f>AND((Liste07[[#This Row],[Wahl]]=0),LEN(Liste07[[#This Row],[Wahl]])=1)</f>
        <v>0</v>
      </c>
      <c r="CI47" s="9">
        <f t="array" ref="CI47">SUM((ROW(Liste07[Platz])&lt;=ROW())*(Liste07[Platz]=Liste07[[#This Row],[Platz]])*NOT(Liste07[IstGestrichen]))*NOT(Liste07[[#This Row],[IstGestrichen]])</f>
        <v>1</v>
      </c>
      <c r="CJ47" s="9">
        <f t="array" ref="CJ47">MIN(SUMIFS(Liste07[Wahl],Liste07[Platz],Liste07[[#This Row],[Platz]]),3)</f>
        <v>0</v>
      </c>
      <c r="CK47" s="9">
        <f>(Liste07[[#This Row],[Mult]]&gt;Liste07[[#This Row],[GülzST2]])*1*NOT(Liste07[[#This Row],[IstGestrichen]])</f>
        <v>1</v>
      </c>
      <c r="CL47" s="9">
        <f>SUMIFS(Liste07[ListPot],Liste07[Platz],Liste07[[#This Row],[Platz]],Liste07[Mult],"&lt;="&amp;Liste07[[#This Row],[Mult]])+SUMIFS(Liste07[ListPot],Liste07[Platz],"&lt;"&amp;Liste07[[#This Row],[Platz]])*Liste07[[#This Row],[ListPot]]</f>
        <v>43</v>
      </c>
      <c r="CM47" s="14">
        <f>IF(AND(NOT(ISBLANK(CE$3)),Liste07[[#This Row],[ListPotKum]]&lt;=Reststimmen),Liste07[[#This Row],[ListPot]],0)</f>
        <v>0</v>
      </c>
      <c r="CN47" s="4">
        <f>MIN(SUMIFS(Liste07[Wahl],Liste07[Platz],Liste07[[#This Row],[Platz]]),3)*(Liste07[[#This Row],[Mult]]=1)*StimmenzahlOk</f>
        <v>0</v>
      </c>
      <c r="CO47" s="15">
        <f>SUMIFS(Liste07[ListVerg],Liste07[Platz],Liste07[[#This Row],[Platz]])*(Liste07[[#This Row],[Mult]]=1)*ListenkreuzeOk</f>
        <v>0</v>
      </c>
      <c r="CP47" s="4">
        <f>Liste07[[#This Row],[Liste]]+Liste07[[#This Row],[Einzel]]</f>
        <v>0</v>
      </c>
      <c r="CR47" s="8"/>
      <c r="CS47" s="3">
        <v>843</v>
      </c>
      <c r="CT47" s="28" t="s">
        <v>568</v>
      </c>
      <c r="CU47" t="b">
        <f>AND((Liste08[[#This Row],[Wahl]]=0),LEN(Liste08[[#This Row],[Wahl]])=1)</f>
        <v>0</v>
      </c>
      <c r="CV47">
        <f t="array" ref="CV47">SUM((ROW(Liste08[Platz])&lt;=ROW())*(Liste08[Platz]=Liste08[[#This Row],[Platz]])*NOT(Liste08[IstGestrichen]))*NOT(Liste08[[#This Row],[IstGestrichen]])</f>
        <v>1</v>
      </c>
      <c r="CW47">
        <f t="array" ref="CW47">MIN(SUMIFS(Liste08[Wahl],Liste08[Platz],Liste08[[#This Row],[Platz]]),3)</f>
        <v>0</v>
      </c>
      <c r="CX47">
        <f>(Liste08[[#This Row],[Mult]]&gt;Liste08[[#This Row],[GülzST2]])*1*NOT(Liste08[[#This Row],[IstGestrichen]])</f>
        <v>1</v>
      </c>
      <c r="CY47">
        <f>SUMIFS(Liste08[ListPot],Liste08[Platz],Liste08[[#This Row],[Platz]],Liste08[Mult],"&lt;="&amp;Liste08[[#This Row],[Mult]])+SUMIFS(Liste08[ListPot],Liste08[Platz],"&lt;"&amp;Liste08[[#This Row],[Platz]])*Liste08[[#This Row],[ListPot]]</f>
        <v>43</v>
      </c>
      <c r="CZ47">
        <f>IF(AND(NOT(ISBLANK(CR$3)),Liste08[[#This Row],[ListPotKum]]&lt;=Reststimmen),Liste08[[#This Row],[ListPot]],0)</f>
        <v>0</v>
      </c>
      <c r="DA47" s="4">
        <f>MIN(SUMIFS(Liste08[Wahl],Liste08[Platz],Liste08[[#This Row],[Platz]]),3)*(Liste08[[#This Row],[Mult]]=1)*StimmenzahlOk</f>
        <v>0</v>
      </c>
      <c r="DB47" s="4">
        <f>SUMIFS(Liste08[ListVerg],Liste08[Platz],Liste08[[#This Row],[Platz]])*(Liste08[[#This Row],[Mult]]=1)*ListenkreuzeOk</f>
        <v>0</v>
      </c>
      <c r="DC47" s="4">
        <f>Liste08[[#This Row],[Liste]]+Liste08[[#This Row],[Einzel]]</f>
        <v>0</v>
      </c>
    </row>
    <row r="48" spans="1:120" s="17" customFormat="1" ht="15.75" x14ac:dyDescent="0.25">
      <c r="E48" s="8"/>
      <c r="F48" s="3">
        <v>144</v>
      </c>
      <c r="G48" s="2" t="s">
        <v>316</v>
      </c>
      <c r="H48" s="9" t="b">
        <f>AND((Liste01[[#This Row],[Wahl]]=0),LEN(Liste01[[#This Row],[Wahl]])=1)</f>
        <v>0</v>
      </c>
      <c r="I48" s="9">
        <f t="array" ref="I48">SUM((ROW(Liste01[Platz])&lt;=ROW())*(Liste01[Platz]=Liste01[[#This Row],[Platz]])*NOT(Liste01[IstGestrichen]))*NOT(Liste01[[#This Row],[IstGestrichen]])</f>
        <v>1</v>
      </c>
      <c r="J48" s="9">
        <f t="array" ref="J48">MIN(SUMIFS(Liste01[Wahl],Liste01[Platz],Liste01[[#This Row],[Platz]]),3)</f>
        <v>0</v>
      </c>
      <c r="K48" s="9">
        <f>(Liste01[[#This Row],[Mult]]&gt;Liste01[[#This Row],[GülzST2]])*1*NOT(Liste01[[#This Row],[IstGestrichen]])</f>
        <v>1</v>
      </c>
      <c r="L48" s="9">
        <f>SUMIFS(Liste01[ListPot],Liste01[Platz],Liste01[[#This Row],[Platz]],Liste01[Mult],"&lt;="&amp;Liste01[[#This Row],[Mult]])+SUMIFS(Liste01[ListPot],Liste01[Platz],"&lt;"&amp;Liste01[[#This Row],[Platz]])*Liste01[[#This Row],[ListPot]]</f>
        <v>44</v>
      </c>
      <c r="M48" s="14">
        <f>IF(AND(NOT(ISBLANK(E$3)),Liste01[[#This Row],[ListPotKum]]&lt;=Reststimmen),Liste01[[#This Row],[ListPot]],0)</f>
        <v>0</v>
      </c>
      <c r="N48" s="4">
        <f>MIN(SUMIFS(Liste01[Wahl],Liste01[Platz],Liste01[[#This Row],[Platz]]),3)*(Liste01[[#This Row],[Mult]]=1)*StimmenzahlOk</f>
        <v>0</v>
      </c>
      <c r="O48" s="15">
        <f>SUMIFS(Liste01[ListVerg],Liste01[Platz],Liste01[[#This Row],[Platz]])*(Liste01[[#This Row],[Mult]]=1)*ListenkreuzeOk</f>
        <v>0</v>
      </c>
      <c r="P48" s="4">
        <f>Liste01[[#This Row],[Liste]]+Liste01[[#This Row],[Einzel]]</f>
        <v>0</v>
      </c>
      <c r="R48" s="8"/>
      <c r="S48" s="3">
        <v>244</v>
      </c>
      <c r="T48" s="28" t="s">
        <v>366</v>
      </c>
      <c r="U48" s="9" t="b">
        <f>AND((Liste02[[#This Row],[Wahl]]=0),LEN(Liste02[[#This Row],[Wahl]])=1)</f>
        <v>0</v>
      </c>
      <c r="V48" s="9">
        <f t="array" ref="V48">SUM((ROW(Liste02[Platz])&lt;=ROW())*(Liste02[Platz]=Liste02[[#This Row],[Platz]])*NOT(Liste02[IstGestrichen]))*NOT(Liste02[[#This Row],[IstGestrichen]])</f>
        <v>1</v>
      </c>
      <c r="W48" s="9">
        <f t="array" ref="W48">MIN(SUMIFS(Liste02[Wahl],Liste02[Platz],Liste02[[#This Row],[Platz]]),3)</f>
        <v>0</v>
      </c>
      <c r="X48" s="9">
        <f>(Liste02[[#This Row],[Mult]]&gt;Liste02[[#This Row],[GülzST2]])*1*NOT(Liste02[[#This Row],[IstGestrichen]])</f>
        <v>1</v>
      </c>
      <c r="Y48" s="9">
        <f>SUMIFS(Liste02[ListPot],Liste02[Platz],Liste02[[#This Row],[Platz]],Liste02[Mult],"&lt;="&amp;Liste02[[#This Row],[Mult]])+SUMIFS(Liste02[ListPot],Liste02[Platz],"&lt;"&amp;Liste02[[#This Row],[Platz]])*Liste02[[#This Row],[ListPot]]</f>
        <v>44</v>
      </c>
      <c r="Z48" s="14">
        <f>IF(AND(NOT(ISBLANK(R$3)),Liste02[[#This Row],[ListPotKum]]&lt;=Reststimmen),Liste02[[#This Row],[ListPot]],0)</f>
        <v>0</v>
      </c>
      <c r="AA48" s="4">
        <f>MIN(SUMIFS(Liste02[Wahl],Liste02[Platz],Liste02[[#This Row],[Platz]]),3)*(Liste02[[#This Row],[Mult]]=1)*StimmenzahlOk</f>
        <v>0</v>
      </c>
      <c r="AB48" s="15">
        <f>SUMIFS(Liste02[ListVerg],Liste02[Platz],Liste02[[#This Row],[Platz]])*(Liste02[[#This Row],[Mult]]=1)*ListenkreuzeOk</f>
        <v>0</v>
      </c>
      <c r="AC48" s="4">
        <f>Liste02[[#This Row],[Liste]]+Liste02[[#This Row],[Einzel]]</f>
        <v>0</v>
      </c>
      <c r="AE48" s="8"/>
      <c r="AF48" s="3">
        <v>344</v>
      </c>
      <c r="AG48" s="28" t="s">
        <v>416</v>
      </c>
      <c r="AH48" s="9" t="b">
        <f>AND((Liste03[[#This Row],[Wahl]]=0),LEN(Liste03[[#This Row],[Wahl]])=1)</f>
        <v>0</v>
      </c>
      <c r="AI48" s="9">
        <f t="array" ref="AI48">SUM((ROW(Liste03[Platz])&lt;=ROW())*(Liste03[Platz]=Liste03[[#This Row],[Platz]])*NOT(Liste03[IstGestrichen]))*NOT(Liste03[[#This Row],[IstGestrichen]])</f>
        <v>1</v>
      </c>
      <c r="AJ48" s="9">
        <f t="array" ref="AJ48">MIN(SUMIFS(Liste03[Wahl],Liste03[Platz],Liste03[[#This Row],[Platz]]),3)</f>
        <v>0</v>
      </c>
      <c r="AK48" s="9">
        <f>(Liste03[[#This Row],[Mult]]&gt;Liste03[[#This Row],[GülzST2]])*1*NOT(Liste03[[#This Row],[IstGestrichen]])</f>
        <v>1</v>
      </c>
      <c r="AL48" s="9">
        <f>SUMIFS(Liste03[ListPot],Liste03[Platz],Liste03[[#This Row],[Platz]],Liste03[Mult],"&lt;="&amp;Liste03[[#This Row],[Mult]])+SUMIFS(Liste03[ListPot],Liste03[Platz],"&lt;"&amp;Liste03[[#This Row],[Platz]])*Liste03[[#This Row],[ListPot]]</f>
        <v>44</v>
      </c>
      <c r="AM48" s="14">
        <f>IF(AND(NOT(ISBLANK(AE$3)),Liste03[[#This Row],[ListPotKum]]&lt;=Reststimmen),Liste03[[#This Row],[ListPot]],0)</f>
        <v>0</v>
      </c>
      <c r="AN48" s="4">
        <f>MIN(SUMIFS(Liste03[Wahl],Liste03[Platz],Liste03[[#This Row],[Platz]]),3)*(Liste03[[#This Row],[Mult]]=1)*StimmenzahlOk</f>
        <v>0</v>
      </c>
      <c r="AO48" s="15">
        <f>SUMIFS(Liste03[ListVerg],Liste03[Platz],Liste03[[#This Row],[Platz]])*(Liste03[[#This Row],[Mult]]=1)*ListenkreuzeOk</f>
        <v>0</v>
      </c>
      <c r="AP48" s="4">
        <f>Liste03[[#This Row],[Liste]]+Liste03[[#This Row],[Einzel]]</f>
        <v>0</v>
      </c>
      <c r="AR48" s="8"/>
      <c r="AS48" s="3"/>
      <c r="AT48" s="28"/>
      <c r="AU48" t="b">
        <f>AND((Liste04[[#This Row],[Wahl]]=0),LEN(Liste04[[#This Row],[Wahl]])=1)</f>
        <v>0</v>
      </c>
      <c r="AV48">
        <f t="array" ref="AV48">SUM((ROW(Liste04[Platz])&lt;=ROW())*(Liste04[Platz]=Liste04[[#This Row],[Platz]])*NOT(Liste04[IstGestrichen]))*NOT(Liste04[[#This Row],[IstGestrichen]])</f>
        <v>44</v>
      </c>
      <c r="AW48">
        <f t="array" ref="AW48">MIN(SUMIFS(Liste04[Wahl],Liste04[Platz],Liste04[[#This Row],[Platz]]),3)</f>
        <v>0</v>
      </c>
      <c r="AX48">
        <f>(Liste04[[#This Row],[Mult]]&gt;Liste04[[#This Row],[GülzST2]])*1*NOT(Liste04[[#This Row],[IstGestrichen]])</f>
        <v>1</v>
      </c>
      <c r="AY48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8">
        <f>IF(AND(NOT(ISBLANK(AR$3)),Liste04[[#This Row],[ListPotKum]]&lt;=Reststimmen),Liste04[[#This Row],[ListPot]],0)</f>
        <v>0</v>
      </c>
      <c r="BA48" s="4">
        <f>MIN(SUMIFS(Liste04[Wahl],Liste04[Platz],Liste04[[#This Row],[Platz]]),3)*(Liste04[[#This Row],[Mult]]=1)*StimmenzahlOk</f>
        <v>0</v>
      </c>
      <c r="BB48" s="4">
        <f>SUMIFS(Liste04[ListVerg],Liste04[Platz],Liste04[[#This Row],[Platz]])*(Liste04[[#This Row],[Mult]]=1)*ListenkreuzeOk</f>
        <v>0</v>
      </c>
      <c r="BC48" s="4">
        <f>Liste04[[#This Row],[Liste]]+Liste04[[#This Row],[Einzel]]</f>
        <v>0</v>
      </c>
      <c r="BE48" s="8"/>
      <c r="BF48" s="3">
        <v>544</v>
      </c>
      <c r="BG48" s="28" t="s">
        <v>468</v>
      </c>
      <c r="BH48" s="9" t="b">
        <f>AND((Liste05[[#This Row],[Wahl]]=0),LEN(Liste05[[#This Row],[Wahl]])=1)</f>
        <v>0</v>
      </c>
      <c r="BI48" s="9">
        <f t="array" ref="BI48">SUM((ROW(Liste05[Platz])&lt;=ROW())*(Liste05[Platz]=Liste05[[#This Row],[Platz]])*NOT(Liste05[IstGestrichen]))*NOT(Liste05[[#This Row],[IstGestrichen]])</f>
        <v>1</v>
      </c>
      <c r="BJ48" s="9">
        <f t="array" ref="BJ48">MIN(SUMIFS(Liste05[Wahl],Liste05[Platz],Liste05[[#This Row],[Platz]]),3)</f>
        <v>0</v>
      </c>
      <c r="BK48" s="9">
        <f>(Liste05[[#This Row],[Mult]]&gt;Liste05[[#This Row],[GülzST2]])*1*NOT(Liste05[[#This Row],[IstGestrichen]])</f>
        <v>1</v>
      </c>
      <c r="BL48" s="9">
        <f>SUMIFS(Liste05[ListPot],Liste05[Platz],Liste05[[#This Row],[Platz]],Liste05[Mult],"&lt;="&amp;Liste05[[#This Row],[Mult]])+SUMIFS(Liste05[ListPot],Liste05[Platz],"&lt;"&amp;Liste05[[#This Row],[Platz]])*Liste05[[#This Row],[ListPot]]</f>
        <v>44</v>
      </c>
      <c r="BM48" s="14">
        <f>IF(AND(NOT(ISBLANK(BE$3)),Liste05[[#This Row],[ListPotKum]]&lt;=Reststimmen),Liste05[[#This Row],[ListPot]],0)</f>
        <v>0</v>
      </c>
      <c r="BN48" s="4">
        <f>MIN(SUMIFS(Liste05[Wahl],Liste05[Platz],Liste05[[#This Row],[Platz]]),3)*(Liste05[[#This Row],[Mult]]=1)*StimmenzahlOk</f>
        <v>0</v>
      </c>
      <c r="BO48" s="15">
        <f>SUMIFS(Liste05[ListVerg],Liste05[Platz],Liste05[[#This Row],[Platz]])*(Liste05[[#This Row],[Mult]]=1)*ListenkreuzeOk</f>
        <v>0</v>
      </c>
      <c r="BP48" s="4">
        <f>Liste05[[#This Row],[Liste]]+Liste05[[#This Row],[Einzel]]</f>
        <v>0</v>
      </c>
      <c r="CE48" s="8"/>
      <c r="CF48" s="3">
        <v>744</v>
      </c>
      <c r="CG48" s="28" t="s">
        <v>518</v>
      </c>
      <c r="CH48" t="b">
        <f>AND((Liste07[[#This Row],[Wahl]]=0),LEN(Liste07[[#This Row],[Wahl]])=1)</f>
        <v>0</v>
      </c>
      <c r="CI48">
        <f t="array" ref="CI48">SUM((ROW(Liste07[Platz])&lt;=ROW())*(Liste07[Platz]=Liste07[[#This Row],[Platz]])*NOT(Liste07[IstGestrichen]))*NOT(Liste07[[#This Row],[IstGestrichen]])</f>
        <v>1</v>
      </c>
      <c r="CJ48">
        <f t="array" ref="CJ48">MIN(SUMIFS(Liste07[Wahl],Liste07[Platz],Liste07[[#This Row],[Platz]]),3)</f>
        <v>0</v>
      </c>
      <c r="CK48">
        <f>(Liste07[[#This Row],[Mult]]&gt;Liste07[[#This Row],[GülzST2]])*1*NOT(Liste07[[#This Row],[IstGestrichen]])</f>
        <v>1</v>
      </c>
      <c r="CL48">
        <f>SUMIFS(Liste07[ListPot],Liste07[Platz],Liste07[[#This Row],[Platz]],Liste07[Mult],"&lt;="&amp;Liste07[[#This Row],[Mult]])+SUMIFS(Liste07[ListPot],Liste07[Platz],"&lt;"&amp;Liste07[[#This Row],[Platz]])*Liste07[[#This Row],[ListPot]]</f>
        <v>44</v>
      </c>
      <c r="CM48">
        <f>IF(AND(NOT(ISBLANK(CE$3)),Liste07[[#This Row],[ListPotKum]]&lt;=Reststimmen),Liste07[[#This Row],[ListPot]],0)</f>
        <v>0</v>
      </c>
      <c r="CN48" s="4">
        <f>MIN(SUMIFS(Liste07[Wahl],Liste07[Platz],Liste07[[#This Row],[Platz]]),3)*(Liste07[[#This Row],[Mult]]=1)*StimmenzahlOk</f>
        <v>0</v>
      </c>
      <c r="CO48" s="4">
        <f>SUMIFS(Liste07[ListVerg],Liste07[Platz],Liste07[[#This Row],[Platz]])*(Liste07[[#This Row],[Mult]]=1)*ListenkreuzeOk</f>
        <v>0</v>
      </c>
      <c r="CP48" s="4">
        <f>Liste07[[#This Row],[Liste]]+Liste07[[#This Row],[Einzel]]</f>
        <v>0</v>
      </c>
      <c r="CR48" s="8"/>
      <c r="CS48" s="3">
        <v>844</v>
      </c>
      <c r="CT48" s="28" t="s">
        <v>569</v>
      </c>
      <c r="CU48" s="9" t="b">
        <f>AND((Liste08[[#This Row],[Wahl]]=0),LEN(Liste08[[#This Row],[Wahl]])=1)</f>
        <v>0</v>
      </c>
      <c r="CV48" s="9">
        <f t="array" ref="CV48">SUM((ROW(Liste08[Platz])&lt;=ROW())*(Liste08[Platz]=Liste08[[#This Row],[Platz]])*NOT(Liste08[IstGestrichen]))*NOT(Liste08[[#This Row],[IstGestrichen]])</f>
        <v>1</v>
      </c>
      <c r="CW48" s="9">
        <f t="array" ref="CW48">MIN(SUMIFS(Liste08[Wahl],Liste08[Platz],Liste08[[#This Row],[Platz]]),3)</f>
        <v>0</v>
      </c>
      <c r="CX48" s="9">
        <f>(Liste08[[#This Row],[Mult]]&gt;Liste08[[#This Row],[GülzST2]])*1*NOT(Liste08[[#This Row],[IstGestrichen]])</f>
        <v>1</v>
      </c>
      <c r="CY48" s="9">
        <f>SUMIFS(Liste08[ListPot],Liste08[Platz],Liste08[[#This Row],[Platz]],Liste08[Mult],"&lt;="&amp;Liste08[[#This Row],[Mult]])+SUMIFS(Liste08[ListPot],Liste08[Platz],"&lt;"&amp;Liste08[[#This Row],[Platz]])*Liste08[[#This Row],[ListPot]]</f>
        <v>44</v>
      </c>
      <c r="CZ48" s="14">
        <f>IF(AND(NOT(ISBLANK(CR$3)),Liste08[[#This Row],[ListPotKum]]&lt;=Reststimmen),Liste08[[#This Row],[ListPot]],0)</f>
        <v>0</v>
      </c>
      <c r="DA48" s="4">
        <f>MIN(SUMIFS(Liste08[Wahl],Liste08[Platz],Liste08[[#This Row],[Platz]]),3)*(Liste08[[#This Row],[Mult]]=1)*StimmenzahlOk</f>
        <v>0</v>
      </c>
      <c r="DB48" s="15">
        <f>SUMIFS(Liste08[ListVerg],Liste08[Platz],Liste08[[#This Row],[Platz]])*(Liste08[[#This Row],[Mult]]=1)*ListenkreuzeOk</f>
        <v>0</v>
      </c>
      <c r="DC48" s="4">
        <f>Liste08[[#This Row],[Liste]]+Liste08[[#This Row],[Einzel]]</f>
        <v>0</v>
      </c>
    </row>
    <row r="49" spans="5:107" s="17" customFormat="1" ht="15.75" x14ac:dyDescent="0.25">
      <c r="E49" s="8"/>
      <c r="F49" s="3">
        <v>145</v>
      </c>
      <c r="G49" s="2" t="s">
        <v>317</v>
      </c>
      <c r="H49" s="9" t="b">
        <f>AND((Liste01[[#This Row],[Wahl]]=0),LEN(Liste01[[#This Row],[Wahl]])=1)</f>
        <v>0</v>
      </c>
      <c r="I49" s="9">
        <f t="array" ref="I49">SUM((ROW(Liste01[Platz])&lt;=ROW())*(Liste01[Platz]=Liste01[[#This Row],[Platz]])*NOT(Liste01[IstGestrichen]))*NOT(Liste01[[#This Row],[IstGestrichen]])</f>
        <v>1</v>
      </c>
      <c r="J49" s="9">
        <f t="array" ref="J49">MIN(SUMIFS(Liste01[Wahl],Liste01[Platz],Liste01[[#This Row],[Platz]]),3)</f>
        <v>0</v>
      </c>
      <c r="K49" s="9">
        <f>(Liste01[[#This Row],[Mult]]&gt;Liste01[[#This Row],[GülzST2]])*1*NOT(Liste01[[#This Row],[IstGestrichen]])</f>
        <v>1</v>
      </c>
      <c r="L49" s="9">
        <f>SUMIFS(Liste01[ListPot],Liste01[Platz],Liste01[[#This Row],[Platz]],Liste01[Mult],"&lt;="&amp;Liste01[[#This Row],[Mult]])+SUMIFS(Liste01[ListPot],Liste01[Platz],"&lt;"&amp;Liste01[[#This Row],[Platz]])*Liste01[[#This Row],[ListPot]]</f>
        <v>45</v>
      </c>
      <c r="M49" s="14">
        <f>IF(AND(NOT(ISBLANK(E$3)),Liste01[[#This Row],[ListPotKum]]&lt;=Reststimmen),Liste01[[#This Row],[ListPot]],0)</f>
        <v>0</v>
      </c>
      <c r="N49" s="4">
        <f>MIN(SUMIFS(Liste01[Wahl],Liste01[Platz],Liste01[[#This Row],[Platz]]),3)*(Liste01[[#This Row],[Mult]]=1)*StimmenzahlOk</f>
        <v>0</v>
      </c>
      <c r="O49" s="15">
        <f>SUMIFS(Liste01[ListVerg],Liste01[Platz],Liste01[[#This Row],[Platz]])*(Liste01[[#This Row],[Mult]]=1)*ListenkreuzeOk</f>
        <v>0</v>
      </c>
      <c r="P49" s="4">
        <f>Liste01[[#This Row],[Liste]]+Liste01[[#This Row],[Einzel]]</f>
        <v>0</v>
      </c>
      <c r="R49" s="8"/>
      <c r="S49" s="3">
        <v>245</v>
      </c>
      <c r="T49" s="28" t="s">
        <v>367</v>
      </c>
      <c r="U49" s="9" t="b">
        <f>AND((Liste02[[#This Row],[Wahl]]=0),LEN(Liste02[[#This Row],[Wahl]])=1)</f>
        <v>0</v>
      </c>
      <c r="V49" s="9">
        <f t="array" ref="V49">SUM((ROW(Liste02[Platz])&lt;=ROW())*(Liste02[Platz]=Liste02[[#This Row],[Platz]])*NOT(Liste02[IstGestrichen]))*NOT(Liste02[[#This Row],[IstGestrichen]])</f>
        <v>1</v>
      </c>
      <c r="W49" s="9">
        <f t="array" ref="W49">MIN(SUMIFS(Liste02[Wahl],Liste02[Platz],Liste02[[#This Row],[Platz]]),3)</f>
        <v>0</v>
      </c>
      <c r="X49" s="9">
        <f>(Liste02[[#This Row],[Mult]]&gt;Liste02[[#This Row],[GülzST2]])*1*NOT(Liste02[[#This Row],[IstGestrichen]])</f>
        <v>1</v>
      </c>
      <c r="Y49" s="9">
        <f>SUMIFS(Liste02[ListPot],Liste02[Platz],Liste02[[#This Row],[Platz]],Liste02[Mult],"&lt;="&amp;Liste02[[#This Row],[Mult]])+SUMIFS(Liste02[ListPot],Liste02[Platz],"&lt;"&amp;Liste02[[#This Row],[Platz]])*Liste02[[#This Row],[ListPot]]</f>
        <v>45</v>
      </c>
      <c r="Z49" s="14">
        <f>IF(AND(NOT(ISBLANK(R$3)),Liste02[[#This Row],[ListPotKum]]&lt;=Reststimmen),Liste02[[#This Row],[ListPot]],0)</f>
        <v>0</v>
      </c>
      <c r="AA49" s="4">
        <f>MIN(SUMIFS(Liste02[Wahl],Liste02[Platz],Liste02[[#This Row],[Platz]]),3)*(Liste02[[#This Row],[Mult]]=1)*StimmenzahlOk</f>
        <v>0</v>
      </c>
      <c r="AB49" s="15">
        <f>SUMIFS(Liste02[ListVerg],Liste02[Platz],Liste02[[#This Row],[Platz]])*(Liste02[[#This Row],[Mult]]=1)*ListenkreuzeOk</f>
        <v>0</v>
      </c>
      <c r="AC49" s="4">
        <f>Liste02[[#This Row],[Liste]]+Liste02[[#This Row],[Einzel]]</f>
        <v>0</v>
      </c>
      <c r="AE49" s="8"/>
      <c r="AF49" s="3">
        <v>345</v>
      </c>
      <c r="AG49" s="28" t="s">
        <v>417</v>
      </c>
      <c r="AH49" s="9" t="b">
        <f>AND((Liste03[[#This Row],[Wahl]]=0),LEN(Liste03[[#This Row],[Wahl]])=1)</f>
        <v>0</v>
      </c>
      <c r="AI49" s="9">
        <f t="array" ref="AI49">SUM((ROW(Liste03[Platz])&lt;=ROW())*(Liste03[Platz]=Liste03[[#This Row],[Platz]])*NOT(Liste03[IstGestrichen]))*NOT(Liste03[[#This Row],[IstGestrichen]])</f>
        <v>1</v>
      </c>
      <c r="AJ49" s="9">
        <f t="array" ref="AJ49">MIN(SUMIFS(Liste03[Wahl],Liste03[Platz],Liste03[[#This Row],[Platz]]),3)</f>
        <v>0</v>
      </c>
      <c r="AK49" s="9">
        <f>(Liste03[[#This Row],[Mult]]&gt;Liste03[[#This Row],[GülzST2]])*1*NOT(Liste03[[#This Row],[IstGestrichen]])</f>
        <v>1</v>
      </c>
      <c r="AL49" s="9">
        <f>SUMIFS(Liste03[ListPot],Liste03[Platz],Liste03[[#This Row],[Platz]],Liste03[Mult],"&lt;="&amp;Liste03[[#This Row],[Mult]])+SUMIFS(Liste03[ListPot],Liste03[Platz],"&lt;"&amp;Liste03[[#This Row],[Platz]])*Liste03[[#This Row],[ListPot]]</f>
        <v>45</v>
      </c>
      <c r="AM49" s="14">
        <f>IF(AND(NOT(ISBLANK(AE$3)),Liste03[[#This Row],[ListPotKum]]&lt;=Reststimmen),Liste03[[#This Row],[ListPot]],0)</f>
        <v>0</v>
      </c>
      <c r="AN49" s="4">
        <f>MIN(SUMIFS(Liste03[Wahl],Liste03[Platz],Liste03[[#This Row],[Platz]]),3)*(Liste03[[#This Row],[Mult]]=1)*StimmenzahlOk</f>
        <v>0</v>
      </c>
      <c r="AO49" s="15">
        <f>SUMIFS(Liste03[ListVerg],Liste03[Platz],Liste03[[#This Row],[Platz]])*(Liste03[[#This Row],[Mult]]=1)*ListenkreuzeOk</f>
        <v>0</v>
      </c>
      <c r="AP49" s="4">
        <f>Liste03[[#This Row],[Liste]]+Liste03[[#This Row],[Einzel]]</f>
        <v>0</v>
      </c>
      <c r="AR49" s="8"/>
      <c r="AS49" s="3"/>
      <c r="AT49" s="28"/>
      <c r="AU49" t="b">
        <f>AND((Liste04[[#This Row],[Wahl]]=0),LEN(Liste04[[#This Row],[Wahl]])=1)</f>
        <v>0</v>
      </c>
      <c r="AV49">
        <f t="array" ref="AV49">SUM((ROW(Liste04[Platz])&lt;=ROW())*(Liste04[Platz]=Liste04[[#This Row],[Platz]])*NOT(Liste04[IstGestrichen]))*NOT(Liste04[[#This Row],[IstGestrichen]])</f>
        <v>45</v>
      </c>
      <c r="AW49">
        <f t="array" ref="AW49">MIN(SUMIFS(Liste04[Wahl],Liste04[Platz],Liste04[[#This Row],[Platz]]),3)</f>
        <v>0</v>
      </c>
      <c r="AX49">
        <f>(Liste04[[#This Row],[Mult]]&gt;Liste04[[#This Row],[GülzST2]])*1*NOT(Liste04[[#This Row],[IstGestrichen]])</f>
        <v>1</v>
      </c>
      <c r="AY4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49">
        <f>IF(AND(NOT(ISBLANK(AR$3)),Liste04[[#This Row],[ListPotKum]]&lt;=Reststimmen),Liste04[[#This Row],[ListPot]],0)</f>
        <v>0</v>
      </c>
      <c r="BA49" s="4">
        <f>MIN(SUMIFS(Liste04[Wahl],Liste04[Platz],Liste04[[#This Row],[Platz]]),3)*(Liste04[[#This Row],[Mult]]=1)*StimmenzahlOk</f>
        <v>0</v>
      </c>
      <c r="BB49" s="4">
        <f>SUMIFS(Liste04[ListVerg],Liste04[Platz],Liste04[[#This Row],[Platz]])*(Liste04[[#This Row],[Mult]]=1)*ListenkreuzeOk</f>
        <v>0</v>
      </c>
      <c r="BC49" s="4">
        <f>Liste04[[#This Row],[Liste]]+Liste04[[#This Row],[Einzel]]</f>
        <v>0</v>
      </c>
      <c r="BE49" s="8"/>
      <c r="BF49" s="3">
        <v>545</v>
      </c>
      <c r="BG49" s="28" t="s">
        <v>469</v>
      </c>
      <c r="BH49" s="9" t="b">
        <f>AND((Liste05[[#This Row],[Wahl]]=0),LEN(Liste05[[#This Row],[Wahl]])=1)</f>
        <v>0</v>
      </c>
      <c r="BI49" s="9">
        <f t="array" ref="BI49">SUM((ROW(Liste05[Platz])&lt;=ROW())*(Liste05[Platz]=Liste05[[#This Row],[Platz]])*NOT(Liste05[IstGestrichen]))*NOT(Liste05[[#This Row],[IstGestrichen]])</f>
        <v>1</v>
      </c>
      <c r="BJ49" s="9">
        <f t="array" ref="BJ49">MIN(SUMIFS(Liste05[Wahl],Liste05[Platz],Liste05[[#This Row],[Platz]]),3)</f>
        <v>0</v>
      </c>
      <c r="BK49" s="9">
        <f>(Liste05[[#This Row],[Mult]]&gt;Liste05[[#This Row],[GülzST2]])*1*NOT(Liste05[[#This Row],[IstGestrichen]])</f>
        <v>1</v>
      </c>
      <c r="BL49" s="9">
        <f>SUMIFS(Liste05[ListPot],Liste05[Platz],Liste05[[#This Row],[Platz]],Liste05[Mult],"&lt;="&amp;Liste05[[#This Row],[Mult]])+SUMIFS(Liste05[ListPot],Liste05[Platz],"&lt;"&amp;Liste05[[#This Row],[Platz]])*Liste05[[#This Row],[ListPot]]</f>
        <v>45</v>
      </c>
      <c r="BM49" s="14">
        <f>IF(AND(NOT(ISBLANK(BE$3)),Liste05[[#This Row],[ListPotKum]]&lt;=Reststimmen),Liste05[[#This Row],[ListPot]],0)</f>
        <v>0</v>
      </c>
      <c r="BN49" s="4">
        <f>MIN(SUMIFS(Liste05[Wahl],Liste05[Platz],Liste05[[#This Row],[Platz]]),3)*(Liste05[[#This Row],[Mult]]=1)*StimmenzahlOk</f>
        <v>0</v>
      </c>
      <c r="BO49" s="15">
        <f>SUMIFS(Liste05[ListVerg],Liste05[Platz],Liste05[[#This Row],[Platz]])*(Liste05[[#This Row],[Mult]]=1)*ListenkreuzeOk</f>
        <v>0</v>
      </c>
      <c r="BP49" s="4">
        <f>Liste05[[#This Row],[Liste]]+Liste05[[#This Row],[Einzel]]</f>
        <v>0</v>
      </c>
      <c r="CE49" s="42"/>
      <c r="CF49" s="3">
        <v>745</v>
      </c>
      <c r="CG49" s="37" t="s">
        <v>519</v>
      </c>
      <c r="CH49" s="9" t="b">
        <f>AND((Liste07[[#This Row],[Wahl]]=0),LEN(Liste07[[#This Row],[Wahl]])=1)</f>
        <v>0</v>
      </c>
      <c r="CI49" s="9">
        <f t="array" ref="CI49">SUM((ROW(Liste07[Platz])&lt;=ROW())*(Liste07[Platz]=Liste07[[#This Row],[Platz]])*NOT(Liste07[IstGestrichen]))*NOT(Liste07[[#This Row],[IstGestrichen]])</f>
        <v>1</v>
      </c>
      <c r="CJ49" s="9">
        <f t="array" ref="CJ49">MIN(SUMIFS(Liste07[Wahl],Liste07[Platz],Liste07[[#This Row],[Platz]]),3)</f>
        <v>0</v>
      </c>
      <c r="CK49" s="9">
        <f>(Liste07[[#This Row],[Mult]]&gt;Liste07[[#This Row],[GülzST2]])*1*NOT(Liste07[[#This Row],[IstGestrichen]])</f>
        <v>1</v>
      </c>
      <c r="CL49" s="9">
        <f>SUMIFS(Liste07[ListPot],Liste07[Platz],Liste07[[#This Row],[Platz]],Liste07[Mult],"&lt;="&amp;Liste07[[#This Row],[Mult]])+SUMIFS(Liste07[ListPot],Liste07[Platz],"&lt;"&amp;Liste07[[#This Row],[Platz]])*Liste07[[#This Row],[ListPot]]</f>
        <v>45</v>
      </c>
      <c r="CM49" s="14">
        <f>IF(AND(NOT(ISBLANK(CE$3)),Liste07[[#This Row],[ListPotKum]]&lt;=Reststimmen),Liste07[[#This Row],[ListPot]],0)</f>
        <v>0</v>
      </c>
      <c r="CN49" s="4">
        <f>MIN(SUMIFS(Liste07[Wahl],Liste07[Platz],Liste07[[#This Row],[Platz]]),3)*(Liste07[[#This Row],[Mult]]=1)*StimmenzahlOk</f>
        <v>0</v>
      </c>
      <c r="CO49" s="15">
        <f>SUMIFS(Liste07[ListVerg],Liste07[Platz],Liste07[[#This Row],[Platz]])*(Liste07[[#This Row],[Mult]]=1)*ListenkreuzeOk</f>
        <v>0</v>
      </c>
      <c r="CP49" s="4">
        <f>Liste07[[#This Row],[Liste]]+Liste07[[#This Row],[Einzel]]</f>
        <v>0</v>
      </c>
      <c r="CR49" s="8"/>
      <c r="CS49" s="3">
        <v>845</v>
      </c>
      <c r="CT49" s="28" t="s">
        <v>570</v>
      </c>
      <c r="CU49" s="9" t="b">
        <f>AND((Liste08[[#This Row],[Wahl]]=0),LEN(Liste08[[#This Row],[Wahl]])=1)</f>
        <v>0</v>
      </c>
      <c r="CV49" s="9">
        <f t="array" ref="CV49">SUM((ROW(Liste08[Platz])&lt;=ROW())*(Liste08[Platz]=Liste08[[#This Row],[Platz]])*NOT(Liste08[IstGestrichen]))*NOT(Liste08[[#This Row],[IstGestrichen]])</f>
        <v>1</v>
      </c>
      <c r="CW49" s="9">
        <f t="array" ref="CW49">MIN(SUMIFS(Liste08[Wahl],Liste08[Platz],Liste08[[#This Row],[Platz]]),3)</f>
        <v>0</v>
      </c>
      <c r="CX49" s="9">
        <f>(Liste08[[#This Row],[Mult]]&gt;Liste08[[#This Row],[GülzST2]])*1*NOT(Liste08[[#This Row],[IstGestrichen]])</f>
        <v>1</v>
      </c>
      <c r="CY49" s="9">
        <f>SUMIFS(Liste08[ListPot],Liste08[Platz],Liste08[[#This Row],[Platz]],Liste08[Mult],"&lt;="&amp;Liste08[[#This Row],[Mult]])+SUMIFS(Liste08[ListPot],Liste08[Platz],"&lt;"&amp;Liste08[[#This Row],[Platz]])*Liste08[[#This Row],[ListPot]]</f>
        <v>45</v>
      </c>
      <c r="CZ49" s="14">
        <f>IF(AND(NOT(ISBLANK(CR$3)),Liste08[[#This Row],[ListPotKum]]&lt;=Reststimmen),Liste08[[#This Row],[ListPot]],0)</f>
        <v>0</v>
      </c>
      <c r="DA49" s="4">
        <f>MIN(SUMIFS(Liste08[Wahl],Liste08[Platz],Liste08[[#This Row],[Platz]]),3)*(Liste08[[#This Row],[Mult]]=1)*StimmenzahlOk</f>
        <v>0</v>
      </c>
      <c r="DB49" s="15">
        <f>SUMIFS(Liste08[ListVerg],Liste08[Platz],Liste08[[#This Row],[Platz]])*(Liste08[[#This Row],[Mult]]=1)*ListenkreuzeOk</f>
        <v>0</v>
      </c>
      <c r="DC49" s="4">
        <f>Liste08[[#This Row],[Liste]]+Liste08[[#This Row],[Einzel]]</f>
        <v>0</v>
      </c>
    </row>
    <row r="50" spans="5:107" s="17" customFormat="1" ht="15.75" x14ac:dyDescent="0.25">
      <c r="E50" s="8"/>
      <c r="F50" s="3">
        <v>146</v>
      </c>
      <c r="G50" s="2" t="s">
        <v>318</v>
      </c>
      <c r="H50" s="9" t="b">
        <f>AND((Liste01[[#This Row],[Wahl]]=0),LEN(Liste01[[#This Row],[Wahl]])=1)</f>
        <v>0</v>
      </c>
      <c r="I50" s="9">
        <f t="array" ref="I50">SUM((ROW(Liste01[Platz])&lt;=ROW())*(Liste01[Platz]=Liste01[[#This Row],[Platz]])*NOT(Liste01[IstGestrichen]))*NOT(Liste01[[#This Row],[IstGestrichen]])</f>
        <v>1</v>
      </c>
      <c r="J50" s="9">
        <f t="array" ref="J50">MIN(SUMIFS(Liste01[Wahl],Liste01[Platz],Liste01[[#This Row],[Platz]]),3)</f>
        <v>0</v>
      </c>
      <c r="K50" s="9">
        <f>(Liste01[[#This Row],[Mult]]&gt;Liste01[[#This Row],[GülzST2]])*1*NOT(Liste01[[#This Row],[IstGestrichen]])</f>
        <v>1</v>
      </c>
      <c r="L50" s="9">
        <f>SUMIFS(Liste01[ListPot],Liste01[Platz],Liste01[[#This Row],[Platz]],Liste01[Mult],"&lt;="&amp;Liste01[[#This Row],[Mult]])+SUMIFS(Liste01[ListPot],Liste01[Platz],"&lt;"&amp;Liste01[[#This Row],[Platz]])*Liste01[[#This Row],[ListPot]]</f>
        <v>46</v>
      </c>
      <c r="M50" s="14">
        <f>IF(AND(NOT(ISBLANK(E$3)),Liste01[[#This Row],[ListPotKum]]&lt;=Reststimmen),Liste01[[#This Row],[ListPot]],0)</f>
        <v>0</v>
      </c>
      <c r="N50" s="4">
        <f>MIN(SUMIFS(Liste01[Wahl],Liste01[Platz],Liste01[[#This Row],[Platz]]),3)*(Liste01[[#This Row],[Mult]]=1)*StimmenzahlOk</f>
        <v>0</v>
      </c>
      <c r="O50" s="15">
        <f>SUMIFS(Liste01[ListVerg],Liste01[Platz],Liste01[[#This Row],[Platz]])*(Liste01[[#This Row],[Mult]]=1)*ListenkreuzeOk</f>
        <v>0</v>
      </c>
      <c r="P50" s="4">
        <f>Liste01[[#This Row],[Liste]]+Liste01[[#This Row],[Einzel]]</f>
        <v>0</v>
      </c>
      <c r="R50" s="8"/>
      <c r="S50" s="3">
        <v>246</v>
      </c>
      <c r="T50" s="28" t="s">
        <v>368</v>
      </c>
      <c r="U50" s="9" t="b">
        <f>AND((Liste02[[#This Row],[Wahl]]=0),LEN(Liste02[[#This Row],[Wahl]])=1)</f>
        <v>0</v>
      </c>
      <c r="V50" s="9">
        <f t="array" ref="V50">SUM((ROW(Liste02[Platz])&lt;=ROW())*(Liste02[Platz]=Liste02[[#This Row],[Platz]])*NOT(Liste02[IstGestrichen]))*NOT(Liste02[[#This Row],[IstGestrichen]])</f>
        <v>1</v>
      </c>
      <c r="W50" s="9">
        <f t="array" ref="W50">MIN(SUMIFS(Liste02[Wahl],Liste02[Platz],Liste02[[#This Row],[Platz]]),3)</f>
        <v>0</v>
      </c>
      <c r="X50" s="9">
        <f>(Liste02[[#This Row],[Mult]]&gt;Liste02[[#This Row],[GülzST2]])*1*NOT(Liste02[[#This Row],[IstGestrichen]])</f>
        <v>1</v>
      </c>
      <c r="Y50" s="9">
        <f>SUMIFS(Liste02[ListPot],Liste02[Platz],Liste02[[#This Row],[Platz]],Liste02[Mult],"&lt;="&amp;Liste02[[#This Row],[Mult]])+SUMIFS(Liste02[ListPot],Liste02[Platz],"&lt;"&amp;Liste02[[#This Row],[Platz]])*Liste02[[#This Row],[ListPot]]</f>
        <v>46</v>
      </c>
      <c r="Z50" s="14">
        <f>IF(AND(NOT(ISBLANK(R$3)),Liste02[[#This Row],[ListPotKum]]&lt;=Reststimmen),Liste02[[#This Row],[ListPot]],0)</f>
        <v>0</v>
      </c>
      <c r="AA50" s="4">
        <f>MIN(SUMIFS(Liste02[Wahl],Liste02[Platz],Liste02[[#This Row],[Platz]]),3)*(Liste02[[#This Row],[Mult]]=1)*StimmenzahlOk</f>
        <v>0</v>
      </c>
      <c r="AB50" s="15">
        <f>SUMIFS(Liste02[ListVerg],Liste02[Platz],Liste02[[#This Row],[Platz]])*(Liste02[[#This Row],[Mult]]=1)*ListenkreuzeOk</f>
        <v>0</v>
      </c>
      <c r="AC50" s="4">
        <f>Liste02[[#This Row],[Liste]]+Liste02[[#This Row],[Einzel]]</f>
        <v>0</v>
      </c>
      <c r="AE50" s="8"/>
      <c r="AF50" s="3">
        <v>346</v>
      </c>
      <c r="AG50" s="28" t="s">
        <v>418</v>
      </c>
      <c r="AH50" s="9" t="b">
        <f>AND((Liste03[[#This Row],[Wahl]]=0),LEN(Liste03[[#This Row],[Wahl]])=1)</f>
        <v>0</v>
      </c>
      <c r="AI50" s="9">
        <f t="array" ref="AI50">SUM((ROW(Liste03[Platz])&lt;=ROW())*(Liste03[Platz]=Liste03[[#This Row],[Platz]])*NOT(Liste03[IstGestrichen]))*NOT(Liste03[[#This Row],[IstGestrichen]])</f>
        <v>1</v>
      </c>
      <c r="AJ50" s="9">
        <f t="array" ref="AJ50">MIN(SUMIFS(Liste03[Wahl],Liste03[Platz],Liste03[[#This Row],[Platz]]),3)</f>
        <v>0</v>
      </c>
      <c r="AK50" s="9">
        <f>(Liste03[[#This Row],[Mult]]&gt;Liste03[[#This Row],[GülzST2]])*1*NOT(Liste03[[#This Row],[IstGestrichen]])</f>
        <v>1</v>
      </c>
      <c r="AL50" s="9">
        <f>SUMIFS(Liste03[ListPot],Liste03[Platz],Liste03[[#This Row],[Platz]],Liste03[Mult],"&lt;="&amp;Liste03[[#This Row],[Mult]])+SUMIFS(Liste03[ListPot],Liste03[Platz],"&lt;"&amp;Liste03[[#This Row],[Platz]])*Liste03[[#This Row],[ListPot]]</f>
        <v>46</v>
      </c>
      <c r="AM50" s="14">
        <f>IF(AND(NOT(ISBLANK(AE$3)),Liste03[[#This Row],[ListPotKum]]&lt;=Reststimmen),Liste03[[#This Row],[ListPot]],0)</f>
        <v>0</v>
      </c>
      <c r="AN50" s="4">
        <f>MIN(SUMIFS(Liste03[Wahl],Liste03[Platz],Liste03[[#This Row],[Platz]]),3)*(Liste03[[#This Row],[Mult]]=1)*StimmenzahlOk</f>
        <v>0</v>
      </c>
      <c r="AO50" s="15">
        <f>SUMIFS(Liste03[ListVerg],Liste03[Platz],Liste03[[#This Row],[Platz]])*(Liste03[[#This Row],[Mult]]=1)*ListenkreuzeOk</f>
        <v>0</v>
      </c>
      <c r="AP50" s="4">
        <f>Liste03[[#This Row],[Liste]]+Liste03[[#This Row],[Einzel]]</f>
        <v>0</v>
      </c>
      <c r="AR50" s="42"/>
      <c r="AS50" s="3"/>
      <c r="AT50" s="37"/>
      <c r="AU50" s="9" t="b">
        <f>AND((Liste04[[#This Row],[Wahl]]=0),LEN(Liste04[[#This Row],[Wahl]])=1)</f>
        <v>0</v>
      </c>
      <c r="AV50" s="9">
        <f t="array" ref="AV50">SUM((ROW(Liste04[Platz])&lt;=ROW())*(Liste04[Platz]=Liste04[[#This Row],[Platz]])*NOT(Liste04[IstGestrichen]))*NOT(Liste04[[#This Row],[IstGestrichen]])</f>
        <v>46</v>
      </c>
      <c r="AW50" s="9">
        <f t="array" ref="AW50">MIN(SUMIFS(Liste04[Wahl],Liste04[Platz],Liste04[[#This Row],[Platz]]),3)</f>
        <v>0</v>
      </c>
      <c r="AX50" s="9">
        <f>(Liste04[[#This Row],[Mult]]&gt;Liste04[[#This Row],[GülzST2]])*1*NOT(Liste04[[#This Row],[IstGestrichen]])</f>
        <v>1</v>
      </c>
      <c r="AY50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0" s="14">
        <f>IF(AND(NOT(ISBLANK(AR$3)),Liste04[[#This Row],[ListPotKum]]&lt;=Reststimmen),Liste04[[#This Row],[ListPot]],0)</f>
        <v>0</v>
      </c>
      <c r="BA50" s="4">
        <f>MIN(SUMIFS(Liste04[Wahl],Liste04[Platz],Liste04[[#This Row],[Platz]]),3)*(Liste04[[#This Row],[Mult]]=1)*StimmenzahlOk</f>
        <v>0</v>
      </c>
      <c r="BB50" s="15">
        <f>SUMIFS(Liste04[ListVerg],Liste04[Platz],Liste04[[#This Row],[Platz]])*(Liste04[[#This Row],[Mult]]=1)*ListenkreuzeOk</f>
        <v>0</v>
      </c>
      <c r="BC50" s="4">
        <f>Liste04[[#This Row],[Liste]]+Liste04[[#This Row],[Einzel]]</f>
        <v>0</v>
      </c>
      <c r="BE50" s="8"/>
      <c r="BF50" s="3">
        <v>546</v>
      </c>
      <c r="BG50" s="28" t="s">
        <v>470</v>
      </c>
      <c r="BH50" s="9" t="b">
        <f>AND((Liste05[[#This Row],[Wahl]]=0),LEN(Liste05[[#This Row],[Wahl]])=1)</f>
        <v>0</v>
      </c>
      <c r="BI50" s="9">
        <f t="array" ref="BI50">SUM((ROW(Liste05[Platz])&lt;=ROW())*(Liste05[Platz]=Liste05[[#This Row],[Platz]])*NOT(Liste05[IstGestrichen]))*NOT(Liste05[[#This Row],[IstGestrichen]])</f>
        <v>1</v>
      </c>
      <c r="BJ50" s="9">
        <f t="array" ref="BJ50">MIN(SUMIFS(Liste05[Wahl],Liste05[Platz],Liste05[[#This Row],[Platz]]),3)</f>
        <v>0</v>
      </c>
      <c r="BK50" s="9">
        <f>(Liste05[[#This Row],[Mult]]&gt;Liste05[[#This Row],[GülzST2]])*1*NOT(Liste05[[#This Row],[IstGestrichen]])</f>
        <v>1</v>
      </c>
      <c r="BL50" s="9">
        <f>SUMIFS(Liste05[ListPot],Liste05[Platz],Liste05[[#This Row],[Platz]],Liste05[Mult],"&lt;="&amp;Liste05[[#This Row],[Mult]])+SUMIFS(Liste05[ListPot],Liste05[Platz],"&lt;"&amp;Liste05[[#This Row],[Platz]])*Liste05[[#This Row],[ListPot]]</f>
        <v>46</v>
      </c>
      <c r="BM50" s="14">
        <f>IF(AND(NOT(ISBLANK(BE$3)),Liste05[[#This Row],[ListPotKum]]&lt;=Reststimmen),Liste05[[#This Row],[ListPot]],0)</f>
        <v>0</v>
      </c>
      <c r="BN50" s="4">
        <f>MIN(SUMIFS(Liste05[Wahl],Liste05[Platz],Liste05[[#This Row],[Platz]]),3)*(Liste05[[#This Row],[Mult]]=1)*StimmenzahlOk</f>
        <v>0</v>
      </c>
      <c r="BO50" s="15">
        <f>SUMIFS(Liste05[ListVerg],Liste05[Platz],Liste05[[#This Row],[Platz]])*(Liste05[[#This Row],[Mult]]=1)*ListenkreuzeOk</f>
        <v>0</v>
      </c>
      <c r="BP50" s="4">
        <f>Liste05[[#This Row],[Liste]]+Liste05[[#This Row],[Einzel]]</f>
        <v>0</v>
      </c>
      <c r="CE50" s="42"/>
      <c r="CF50" s="3">
        <v>746</v>
      </c>
      <c r="CG50" s="37" t="s">
        <v>520</v>
      </c>
      <c r="CH50" s="9" t="b">
        <f>AND((Liste07[[#This Row],[Wahl]]=0),LEN(Liste07[[#This Row],[Wahl]])=1)</f>
        <v>0</v>
      </c>
      <c r="CI50" s="9">
        <f t="array" ref="CI50">SUM((ROW(Liste07[Platz])&lt;=ROW())*(Liste07[Platz]=Liste07[[#This Row],[Platz]])*NOT(Liste07[IstGestrichen]))*NOT(Liste07[[#This Row],[IstGestrichen]])</f>
        <v>1</v>
      </c>
      <c r="CJ50" s="9">
        <f t="array" ref="CJ50">MIN(SUMIFS(Liste07[Wahl],Liste07[Platz],Liste07[[#This Row],[Platz]]),3)</f>
        <v>0</v>
      </c>
      <c r="CK50" s="9">
        <f>(Liste07[[#This Row],[Mult]]&gt;Liste07[[#This Row],[GülzST2]])*1*NOT(Liste07[[#This Row],[IstGestrichen]])</f>
        <v>1</v>
      </c>
      <c r="CL50" s="9">
        <f>SUMIFS(Liste07[ListPot],Liste07[Platz],Liste07[[#This Row],[Platz]],Liste07[Mult],"&lt;="&amp;Liste07[[#This Row],[Mult]])+SUMIFS(Liste07[ListPot],Liste07[Platz],"&lt;"&amp;Liste07[[#This Row],[Platz]])*Liste07[[#This Row],[ListPot]]</f>
        <v>46</v>
      </c>
      <c r="CM50" s="14">
        <f>IF(AND(NOT(ISBLANK(CE$3)),Liste07[[#This Row],[ListPotKum]]&lt;=Reststimmen),Liste07[[#This Row],[ListPot]],0)</f>
        <v>0</v>
      </c>
      <c r="CN50" s="4">
        <f>MIN(SUMIFS(Liste07[Wahl],Liste07[Platz],Liste07[[#This Row],[Platz]]),3)*(Liste07[[#This Row],[Mult]]=1)*StimmenzahlOk</f>
        <v>0</v>
      </c>
      <c r="CO50" s="15">
        <f>SUMIFS(Liste07[ListVerg],Liste07[Platz],Liste07[[#This Row],[Platz]])*(Liste07[[#This Row],[Mult]]=1)*ListenkreuzeOk</f>
        <v>0</v>
      </c>
      <c r="CP50" s="4">
        <f>Liste07[[#This Row],[Liste]]+Liste07[[#This Row],[Einzel]]</f>
        <v>0</v>
      </c>
      <c r="CR50" s="8"/>
      <c r="CS50" s="3">
        <v>846</v>
      </c>
      <c r="CT50" s="28" t="s">
        <v>571</v>
      </c>
      <c r="CU50" t="b">
        <f>AND((Liste08[[#This Row],[Wahl]]=0),LEN(Liste08[[#This Row],[Wahl]])=1)</f>
        <v>0</v>
      </c>
      <c r="CV50">
        <f t="array" ref="CV50">SUM((ROW(Liste08[Platz])&lt;=ROW())*(Liste08[Platz]=Liste08[[#This Row],[Platz]])*NOT(Liste08[IstGestrichen]))*NOT(Liste08[[#This Row],[IstGestrichen]])</f>
        <v>1</v>
      </c>
      <c r="CW50">
        <f t="array" ref="CW50">MIN(SUMIFS(Liste08[Wahl],Liste08[Platz],Liste08[[#This Row],[Platz]]),3)</f>
        <v>0</v>
      </c>
      <c r="CX50">
        <f>(Liste08[[#This Row],[Mult]]&gt;Liste08[[#This Row],[GülzST2]])*1*NOT(Liste08[[#This Row],[IstGestrichen]])</f>
        <v>1</v>
      </c>
      <c r="CY50">
        <f>SUMIFS(Liste08[ListPot],Liste08[Platz],Liste08[[#This Row],[Platz]],Liste08[Mult],"&lt;="&amp;Liste08[[#This Row],[Mult]])+SUMIFS(Liste08[ListPot],Liste08[Platz],"&lt;"&amp;Liste08[[#This Row],[Platz]])*Liste08[[#This Row],[ListPot]]</f>
        <v>46</v>
      </c>
      <c r="CZ50">
        <f>IF(AND(NOT(ISBLANK(CR$3)),Liste08[[#This Row],[ListPotKum]]&lt;=Reststimmen),Liste08[[#This Row],[ListPot]],0)</f>
        <v>0</v>
      </c>
      <c r="DA50" s="4">
        <f>MIN(SUMIFS(Liste08[Wahl],Liste08[Platz],Liste08[[#This Row],[Platz]]),3)*(Liste08[[#This Row],[Mult]]=1)*StimmenzahlOk</f>
        <v>0</v>
      </c>
      <c r="DB50" s="4">
        <f>SUMIFS(Liste08[ListVerg],Liste08[Platz],Liste08[[#This Row],[Platz]])*(Liste08[[#This Row],[Mult]]=1)*ListenkreuzeOk</f>
        <v>0</v>
      </c>
      <c r="DC50" s="4">
        <f>Liste08[[#This Row],[Liste]]+Liste08[[#This Row],[Einzel]]</f>
        <v>0</v>
      </c>
    </row>
    <row r="51" spans="5:107" s="17" customFormat="1" ht="15.75" x14ac:dyDescent="0.25">
      <c r="E51" s="8"/>
      <c r="F51" s="3">
        <v>147</v>
      </c>
      <c r="G51" s="2" t="s">
        <v>319</v>
      </c>
      <c r="H51" s="9" t="b">
        <f>AND((Liste01[[#This Row],[Wahl]]=0),LEN(Liste01[[#This Row],[Wahl]])=1)</f>
        <v>0</v>
      </c>
      <c r="I51" s="9">
        <f t="array" ref="I51">SUM((ROW(Liste01[Platz])&lt;=ROW())*(Liste01[Platz]=Liste01[[#This Row],[Platz]])*NOT(Liste01[IstGestrichen]))*NOT(Liste01[[#This Row],[IstGestrichen]])</f>
        <v>1</v>
      </c>
      <c r="J51" s="9">
        <f t="array" ref="J51">MIN(SUMIFS(Liste01[Wahl],Liste01[Platz],Liste01[[#This Row],[Platz]]),3)</f>
        <v>0</v>
      </c>
      <c r="K51" s="9">
        <f>(Liste01[[#This Row],[Mult]]&gt;Liste01[[#This Row],[GülzST2]])*1*NOT(Liste01[[#This Row],[IstGestrichen]])</f>
        <v>1</v>
      </c>
      <c r="L51" s="9">
        <f>SUMIFS(Liste01[ListPot],Liste01[Platz],Liste01[[#This Row],[Platz]],Liste01[Mult],"&lt;="&amp;Liste01[[#This Row],[Mult]])+SUMIFS(Liste01[ListPot],Liste01[Platz],"&lt;"&amp;Liste01[[#This Row],[Platz]])*Liste01[[#This Row],[ListPot]]</f>
        <v>47</v>
      </c>
      <c r="M51" s="14">
        <f>IF(AND(NOT(ISBLANK(E$3)),Liste01[[#This Row],[ListPotKum]]&lt;=Reststimmen),Liste01[[#This Row],[ListPot]],0)</f>
        <v>0</v>
      </c>
      <c r="N51" s="4">
        <f>MIN(SUMIFS(Liste01[Wahl],Liste01[Platz],Liste01[[#This Row],[Platz]]),3)*(Liste01[[#This Row],[Mult]]=1)*StimmenzahlOk</f>
        <v>0</v>
      </c>
      <c r="O51" s="15">
        <f>SUMIFS(Liste01[ListVerg],Liste01[Platz],Liste01[[#This Row],[Platz]])*(Liste01[[#This Row],[Mult]]=1)*ListenkreuzeOk</f>
        <v>0</v>
      </c>
      <c r="P51" s="4">
        <f>Liste01[[#This Row],[Liste]]+Liste01[[#This Row],[Einzel]]</f>
        <v>0</v>
      </c>
      <c r="R51" s="8"/>
      <c r="S51" s="3">
        <v>247</v>
      </c>
      <c r="T51" s="28" t="s">
        <v>369</v>
      </c>
      <c r="U51" s="9" t="b">
        <f>AND((Liste02[[#This Row],[Wahl]]=0),LEN(Liste02[[#This Row],[Wahl]])=1)</f>
        <v>0</v>
      </c>
      <c r="V51" s="9">
        <f t="array" ref="V51">SUM((ROW(Liste02[Platz])&lt;=ROW())*(Liste02[Platz]=Liste02[[#This Row],[Platz]])*NOT(Liste02[IstGestrichen]))*NOT(Liste02[[#This Row],[IstGestrichen]])</f>
        <v>1</v>
      </c>
      <c r="W51" s="9">
        <f t="array" ref="W51">MIN(SUMIFS(Liste02[Wahl],Liste02[Platz],Liste02[[#This Row],[Platz]]),3)</f>
        <v>0</v>
      </c>
      <c r="X51" s="9">
        <f>(Liste02[[#This Row],[Mult]]&gt;Liste02[[#This Row],[GülzST2]])*1*NOT(Liste02[[#This Row],[IstGestrichen]])</f>
        <v>1</v>
      </c>
      <c r="Y51" s="9">
        <f>SUMIFS(Liste02[ListPot],Liste02[Platz],Liste02[[#This Row],[Platz]],Liste02[Mult],"&lt;="&amp;Liste02[[#This Row],[Mult]])+SUMIFS(Liste02[ListPot],Liste02[Platz],"&lt;"&amp;Liste02[[#This Row],[Platz]])*Liste02[[#This Row],[ListPot]]</f>
        <v>47</v>
      </c>
      <c r="Z51" s="14">
        <f>IF(AND(NOT(ISBLANK(R$3)),Liste02[[#This Row],[ListPotKum]]&lt;=Reststimmen),Liste02[[#This Row],[ListPot]],0)</f>
        <v>0</v>
      </c>
      <c r="AA51" s="4">
        <f>MIN(SUMIFS(Liste02[Wahl],Liste02[Platz],Liste02[[#This Row],[Platz]]),3)*(Liste02[[#This Row],[Mult]]=1)*StimmenzahlOk</f>
        <v>0</v>
      </c>
      <c r="AB51" s="15">
        <f>SUMIFS(Liste02[ListVerg],Liste02[Platz],Liste02[[#This Row],[Platz]])*(Liste02[[#This Row],[Mult]]=1)*ListenkreuzeOk</f>
        <v>0</v>
      </c>
      <c r="AC51" s="4">
        <f>Liste02[[#This Row],[Liste]]+Liste02[[#This Row],[Einzel]]</f>
        <v>0</v>
      </c>
      <c r="AE51" s="8"/>
      <c r="AF51" s="3">
        <v>347</v>
      </c>
      <c r="AG51" s="28" t="s">
        <v>419</v>
      </c>
      <c r="AH51" s="9" t="b">
        <f>AND((Liste03[[#This Row],[Wahl]]=0),LEN(Liste03[[#This Row],[Wahl]])=1)</f>
        <v>0</v>
      </c>
      <c r="AI51" s="9">
        <f t="array" ref="AI51">SUM((ROW(Liste03[Platz])&lt;=ROW())*(Liste03[Platz]=Liste03[[#This Row],[Platz]])*NOT(Liste03[IstGestrichen]))*NOT(Liste03[[#This Row],[IstGestrichen]])</f>
        <v>1</v>
      </c>
      <c r="AJ51" s="9">
        <f t="array" ref="AJ51">MIN(SUMIFS(Liste03[Wahl],Liste03[Platz],Liste03[[#This Row],[Platz]]),3)</f>
        <v>0</v>
      </c>
      <c r="AK51" s="9">
        <f>(Liste03[[#This Row],[Mult]]&gt;Liste03[[#This Row],[GülzST2]])*1*NOT(Liste03[[#This Row],[IstGestrichen]])</f>
        <v>1</v>
      </c>
      <c r="AL51" s="9">
        <f>SUMIFS(Liste03[ListPot],Liste03[Platz],Liste03[[#This Row],[Platz]],Liste03[Mult],"&lt;="&amp;Liste03[[#This Row],[Mult]])+SUMIFS(Liste03[ListPot],Liste03[Platz],"&lt;"&amp;Liste03[[#This Row],[Platz]])*Liste03[[#This Row],[ListPot]]</f>
        <v>47</v>
      </c>
      <c r="AM51" s="14">
        <f>IF(AND(NOT(ISBLANK(AE$3)),Liste03[[#This Row],[ListPotKum]]&lt;=Reststimmen),Liste03[[#This Row],[ListPot]],0)</f>
        <v>0</v>
      </c>
      <c r="AN51" s="4">
        <f>MIN(SUMIFS(Liste03[Wahl],Liste03[Platz],Liste03[[#This Row],[Platz]]),3)*(Liste03[[#This Row],[Mult]]=1)*StimmenzahlOk</f>
        <v>0</v>
      </c>
      <c r="AO51" s="15">
        <f>SUMIFS(Liste03[ListVerg],Liste03[Platz],Liste03[[#This Row],[Platz]])*(Liste03[[#This Row],[Mult]]=1)*ListenkreuzeOk</f>
        <v>0</v>
      </c>
      <c r="AP51" s="4">
        <f>Liste03[[#This Row],[Liste]]+Liste03[[#This Row],[Einzel]]</f>
        <v>0</v>
      </c>
      <c r="AR51" s="8"/>
      <c r="AS51" s="3"/>
      <c r="AT51" s="28"/>
      <c r="AU51" s="9" t="b">
        <f>AND((Liste04[[#This Row],[Wahl]]=0),LEN(Liste04[[#This Row],[Wahl]])=1)</f>
        <v>0</v>
      </c>
      <c r="AV51" s="9">
        <f t="array" ref="AV51">SUM((ROW(Liste04[Platz])&lt;=ROW())*(Liste04[Platz]=Liste04[[#This Row],[Platz]])*NOT(Liste04[IstGestrichen]))*NOT(Liste04[[#This Row],[IstGestrichen]])</f>
        <v>47</v>
      </c>
      <c r="AW51" s="9">
        <f t="array" ref="AW51">MIN(SUMIFS(Liste04[Wahl],Liste04[Platz],Liste04[[#This Row],[Platz]]),3)</f>
        <v>0</v>
      </c>
      <c r="AX51" s="9">
        <f>(Liste04[[#This Row],[Mult]]&gt;Liste04[[#This Row],[GülzST2]])*1*NOT(Liste04[[#This Row],[IstGestrichen]])</f>
        <v>1</v>
      </c>
      <c r="AY51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1" s="14">
        <f>IF(AND(NOT(ISBLANK(AR$3)),Liste04[[#This Row],[ListPotKum]]&lt;=Reststimmen),Liste04[[#This Row],[ListPot]],0)</f>
        <v>0</v>
      </c>
      <c r="BA51" s="4">
        <f>MIN(SUMIFS(Liste04[Wahl],Liste04[Platz],Liste04[[#This Row],[Platz]]),3)*(Liste04[[#This Row],[Mult]]=1)*StimmenzahlOk</f>
        <v>0</v>
      </c>
      <c r="BB51" s="15">
        <f>SUMIFS(Liste04[ListVerg],Liste04[Platz],Liste04[[#This Row],[Platz]])*(Liste04[[#This Row],[Mult]]=1)*ListenkreuzeOk</f>
        <v>0</v>
      </c>
      <c r="BC51" s="4">
        <f>Liste04[[#This Row],[Liste]]+Liste04[[#This Row],[Einzel]]</f>
        <v>0</v>
      </c>
      <c r="BE51" s="8"/>
      <c r="BF51" s="3">
        <v>547</v>
      </c>
      <c r="BG51" s="28" t="s">
        <v>471</v>
      </c>
      <c r="BH51" s="9" t="b">
        <f>AND((Liste05[[#This Row],[Wahl]]=0),LEN(Liste05[[#This Row],[Wahl]])=1)</f>
        <v>0</v>
      </c>
      <c r="BI51" s="9">
        <f t="array" ref="BI51">SUM((ROW(Liste05[Platz])&lt;=ROW())*(Liste05[Platz]=Liste05[[#This Row],[Platz]])*NOT(Liste05[IstGestrichen]))*NOT(Liste05[[#This Row],[IstGestrichen]])</f>
        <v>1</v>
      </c>
      <c r="BJ51" s="9">
        <f t="array" ref="BJ51">MIN(SUMIFS(Liste05[Wahl],Liste05[Platz],Liste05[[#This Row],[Platz]]),3)</f>
        <v>0</v>
      </c>
      <c r="BK51" s="9">
        <f>(Liste05[[#This Row],[Mult]]&gt;Liste05[[#This Row],[GülzST2]])*1*NOT(Liste05[[#This Row],[IstGestrichen]])</f>
        <v>1</v>
      </c>
      <c r="BL51" s="9">
        <f>SUMIFS(Liste05[ListPot],Liste05[Platz],Liste05[[#This Row],[Platz]],Liste05[Mult],"&lt;="&amp;Liste05[[#This Row],[Mult]])+SUMIFS(Liste05[ListPot],Liste05[Platz],"&lt;"&amp;Liste05[[#This Row],[Platz]])*Liste05[[#This Row],[ListPot]]</f>
        <v>47</v>
      </c>
      <c r="BM51" s="14">
        <f>IF(AND(NOT(ISBLANK(BE$3)),Liste05[[#This Row],[ListPotKum]]&lt;=Reststimmen),Liste05[[#This Row],[ListPot]],0)</f>
        <v>0</v>
      </c>
      <c r="BN51" s="4">
        <f>MIN(SUMIFS(Liste05[Wahl],Liste05[Platz],Liste05[[#This Row],[Platz]]),3)*(Liste05[[#This Row],[Mult]]=1)*StimmenzahlOk</f>
        <v>0</v>
      </c>
      <c r="BO51" s="15">
        <f>SUMIFS(Liste05[ListVerg],Liste05[Platz],Liste05[[#This Row],[Platz]])*(Liste05[[#This Row],[Mult]]=1)*ListenkreuzeOk</f>
        <v>0</v>
      </c>
      <c r="BP51" s="4">
        <f>Liste05[[#This Row],[Liste]]+Liste05[[#This Row],[Einzel]]</f>
        <v>0</v>
      </c>
      <c r="CE51" s="42"/>
      <c r="CF51" s="3">
        <v>747</v>
      </c>
      <c r="CG51" s="37" t="s">
        <v>521</v>
      </c>
      <c r="CH51" s="9" t="b">
        <f>AND((Liste07[[#This Row],[Wahl]]=0),LEN(Liste07[[#This Row],[Wahl]])=1)</f>
        <v>0</v>
      </c>
      <c r="CI51" s="9">
        <f t="array" ref="CI51">SUM((ROW(Liste07[Platz])&lt;=ROW())*(Liste07[Platz]=Liste07[[#This Row],[Platz]])*NOT(Liste07[IstGestrichen]))*NOT(Liste07[[#This Row],[IstGestrichen]])</f>
        <v>1</v>
      </c>
      <c r="CJ51" s="9">
        <f t="array" ref="CJ51">MIN(SUMIFS(Liste07[Wahl],Liste07[Platz],Liste07[[#This Row],[Platz]]),3)</f>
        <v>0</v>
      </c>
      <c r="CK51" s="9">
        <f>(Liste07[[#This Row],[Mult]]&gt;Liste07[[#This Row],[GülzST2]])*1*NOT(Liste07[[#This Row],[IstGestrichen]])</f>
        <v>1</v>
      </c>
      <c r="CL51" s="9">
        <f>SUMIFS(Liste07[ListPot],Liste07[Platz],Liste07[[#This Row],[Platz]],Liste07[Mult],"&lt;="&amp;Liste07[[#This Row],[Mult]])+SUMIFS(Liste07[ListPot],Liste07[Platz],"&lt;"&amp;Liste07[[#This Row],[Platz]])*Liste07[[#This Row],[ListPot]]</f>
        <v>47</v>
      </c>
      <c r="CM51" s="14">
        <f>IF(AND(NOT(ISBLANK(CE$3)),Liste07[[#This Row],[ListPotKum]]&lt;=Reststimmen),Liste07[[#This Row],[ListPot]],0)</f>
        <v>0</v>
      </c>
      <c r="CN51" s="4">
        <f>MIN(SUMIFS(Liste07[Wahl],Liste07[Platz],Liste07[[#This Row],[Platz]]),3)*(Liste07[[#This Row],[Mult]]=1)*StimmenzahlOk</f>
        <v>0</v>
      </c>
      <c r="CO51" s="15">
        <f>SUMIFS(Liste07[ListVerg],Liste07[Platz],Liste07[[#This Row],[Platz]])*(Liste07[[#This Row],[Mult]]=1)*ListenkreuzeOk</f>
        <v>0</v>
      </c>
      <c r="CP51" s="4">
        <f>Liste07[[#This Row],[Liste]]+Liste07[[#This Row],[Einzel]]</f>
        <v>0</v>
      </c>
      <c r="CR51" s="42"/>
      <c r="CS51" s="3">
        <v>847</v>
      </c>
      <c r="CT51" s="37" t="s">
        <v>572</v>
      </c>
      <c r="CU51" s="9" t="b">
        <f>AND((Liste08[[#This Row],[Wahl]]=0),LEN(Liste08[[#This Row],[Wahl]])=1)</f>
        <v>0</v>
      </c>
      <c r="CV51" s="9">
        <f t="array" ref="CV51">SUM((ROW(Liste08[Platz])&lt;=ROW())*(Liste08[Platz]=Liste08[[#This Row],[Platz]])*NOT(Liste08[IstGestrichen]))*NOT(Liste08[[#This Row],[IstGestrichen]])</f>
        <v>1</v>
      </c>
      <c r="CW51" s="9">
        <f t="array" ref="CW51">MIN(SUMIFS(Liste08[Wahl],Liste08[Platz],Liste08[[#This Row],[Platz]]),3)</f>
        <v>0</v>
      </c>
      <c r="CX51" s="9">
        <f>(Liste08[[#This Row],[Mult]]&gt;Liste08[[#This Row],[GülzST2]])*1*NOT(Liste08[[#This Row],[IstGestrichen]])</f>
        <v>1</v>
      </c>
      <c r="CY51" s="9">
        <f>SUMIFS(Liste08[ListPot],Liste08[Platz],Liste08[[#This Row],[Platz]],Liste08[Mult],"&lt;="&amp;Liste08[[#This Row],[Mult]])+SUMIFS(Liste08[ListPot],Liste08[Platz],"&lt;"&amp;Liste08[[#This Row],[Platz]])*Liste08[[#This Row],[ListPot]]</f>
        <v>47</v>
      </c>
      <c r="CZ51" s="14">
        <f>IF(AND(NOT(ISBLANK(CR$3)),Liste08[[#This Row],[ListPotKum]]&lt;=Reststimmen),Liste08[[#This Row],[ListPot]],0)</f>
        <v>0</v>
      </c>
      <c r="DA51" s="4">
        <f>MIN(SUMIFS(Liste08[Wahl],Liste08[Platz],Liste08[[#This Row],[Platz]]),3)*(Liste08[[#This Row],[Mult]]=1)*StimmenzahlOk</f>
        <v>0</v>
      </c>
      <c r="DB51" s="15">
        <f>SUMIFS(Liste08[ListVerg],Liste08[Platz],Liste08[[#This Row],[Platz]])*(Liste08[[#This Row],[Mult]]=1)*ListenkreuzeOk</f>
        <v>0</v>
      </c>
      <c r="DC51" s="4">
        <f>Liste08[[#This Row],[Liste]]+Liste08[[#This Row],[Einzel]]</f>
        <v>0</v>
      </c>
    </row>
    <row r="52" spans="5:107" s="17" customFormat="1" ht="15.75" x14ac:dyDescent="0.25">
      <c r="E52" s="8"/>
      <c r="F52" s="3">
        <v>148</v>
      </c>
      <c r="G52" s="2" t="s">
        <v>320</v>
      </c>
      <c r="H52" s="9" t="b">
        <f>AND((Liste01[[#This Row],[Wahl]]=0),LEN(Liste01[[#This Row],[Wahl]])=1)</f>
        <v>0</v>
      </c>
      <c r="I52" s="9">
        <f t="array" ref="I52">SUM((ROW(Liste01[Platz])&lt;=ROW())*(Liste01[Platz]=Liste01[[#This Row],[Platz]])*NOT(Liste01[IstGestrichen]))*NOT(Liste01[[#This Row],[IstGestrichen]])</f>
        <v>1</v>
      </c>
      <c r="J52" s="9">
        <f t="array" ref="J52">MIN(SUMIFS(Liste01[Wahl],Liste01[Platz],Liste01[[#This Row],[Platz]]),3)</f>
        <v>0</v>
      </c>
      <c r="K52" s="9">
        <f>(Liste01[[#This Row],[Mult]]&gt;Liste01[[#This Row],[GülzST2]])*1*NOT(Liste01[[#This Row],[IstGestrichen]])</f>
        <v>1</v>
      </c>
      <c r="L52" s="9">
        <f>SUMIFS(Liste01[ListPot],Liste01[Platz],Liste01[[#This Row],[Platz]],Liste01[Mult],"&lt;="&amp;Liste01[[#This Row],[Mult]])+SUMIFS(Liste01[ListPot],Liste01[Platz],"&lt;"&amp;Liste01[[#This Row],[Platz]])*Liste01[[#This Row],[ListPot]]</f>
        <v>48</v>
      </c>
      <c r="M52" s="14">
        <f>IF(AND(NOT(ISBLANK(E$3)),Liste01[[#This Row],[ListPotKum]]&lt;=Reststimmen),Liste01[[#This Row],[ListPot]],0)</f>
        <v>0</v>
      </c>
      <c r="N52" s="4">
        <f>MIN(SUMIFS(Liste01[Wahl],Liste01[Platz],Liste01[[#This Row],[Platz]]),3)*(Liste01[[#This Row],[Mult]]=1)*StimmenzahlOk</f>
        <v>0</v>
      </c>
      <c r="O52" s="15">
        <f>SUMIFS(Liste01[ListVerg],Liste01[Platz],Liste01[[#This Row],[Platz]])*(Liste01[[#This Row],[Mult]]=1)*ListenkreuzeOk</f>
        <v>0</v>
      </c>
      <c r="P52" s="4">
        <f>Liste01[[#This Row],[Liste]]+Liste01[[#This Row],[Einzel]]</f>
        <v>0</v>
      </c>
      <c r="R52" s="8"/>
      <c r="S52" s="3">
        <v>248</v>
      </c>
      <c r="T52" s="28" t="s">
        <v>370</v>
      </c>
      <c r="U52" s="9" t="b">
        <f>AND((Liste02[[#This Row],[Wahl]]=0),LEN(Liste02[[#This Row],[Wahl]])=1)</f>
        <v>0</v>
      </c>
      <c r="V52" s="9">
        <f t="array" ref="V52">SUM((ROW(Liste02[Platz])&lt;=ROW())*(Liste02[Platz]=Liste02[[#This Row],[Platz]])*NOT(Liste02[IstGestrichen]))*NOT(Liste02[[#This Row],[IstGestrichen]])</f>
        <v>1</v>
      </c>
      <c r="W52" s="9">
        <f t="array" ref="W52">MIN(SUMIFS(Liste02[Wahl],Liste02[Platz],Liste02[[#This Row],[Platz]]),3)</f>
        <v>0</v>
      </c>
      <c r="X52" s="9">
        <f>(Liste02[[#This Row],[Mult]]&gt;Liste02[[#This Row],[GülzST2]])*1*NOT(Liste02[[#This Row],[IstGestrichen]])</f>
        <v>1</v>
      </c>
      <c r="Y52" s="9">
        <f>SUMIFS(Liste02[ListPot],Liste02[Platz],Liste02[[#This Row],[Platz]],Liste02[Mult],"&lt;="&amp;Liste02[[#This Row],[Mult]])+SUMIFS(Liste02[ListPot],Liste02[Platz],"&lt;"&amp;Liste02[[#This Row],[Platz]])*Liste02[[#This Row],[ListPot]]</f>
        <v>48</v>
      </c>
      <c r="Z52" s="14">
        <f>IF(AND(NOT(ISBLANK(R$3)),Liste02[[#This Row],[ListPotKum]]&lt;=Reststimmen),Liste02[[#This Row],[ListPot]],0)</f>
        <v>0</v>
      </c>
      <c r="AA52" s="4">
        <f>MIN(SUMIFS(Liste02[Wahl],Liste02[Platz],Liste02[[#This Row],[Platz]]),3)*(Liste02[[#This Row],[Mult]]=1)*StimmenzahlOk</f>
        <v>0</v>
      </c>
      <c r="AB52" s="15">
        <f>SUMIFS(Liste02[ListVerg],Liste02[Platz],Liste02[[#This Row],[Platz]])*(Liste02[[#This Row],[Mult]]=1)*ListenkreuzeOk</f>
        <v>0</v>
      </c>
      <c r="AC52" s="4">
        <f>Liste02[[#This Row],[Liste]]+Liste02[[#This Row],[Einzel]]</f>
        <v>0</v>
      </c>
      <c r="AE52" s="8"/>
      <c r="AF52" s="3">
        <v>348</v>
      </c>
      <c r="AG52" s="28" t="s">
        <v>420</v>
      </c>
      <c r="AH52" s="9" t="b">
        <f>AND((Liste03[[#This Row],[Wahl]]=0),LEN(Liste03[[#This Row],[Wahl]])=1)</f>
        <v>0</v>
      </c>
      <c r="AI52" s="9">
        <f t="array" ref="AI52">SUM((ROW(Liste03[Platz])&lt;=ROW())*(Liste03[Platz]=Liste03[[#This Row],[Platz]])*NOT(Liste03[IstGestrichen]))*NOT(Liste03[[#This Row],[IstGestrichen]])</f>
        <v>1</v>
      </c>
      <c r="AJ52" s="9">
        <f t="array" ref="AJ52">MIN(SUMIFS(Liste03[Wahl],Liste03[Platz],Liste03[[#This Row],[Platz]]),3)</f>
        <v>0</v>
      </c>
      <c r="AK52" s="9">
        <f>(Liste03[[#This Row],[Mult]]&gt;Liste03[[#This Row],[GülzST2]])*1*NOT(Liste03[[#This Row],[IstGestrichen]])</f>
        <v>1</v>
      </c>
      <c r="AL52" s="9">
        <f>SUMIFS(Liste03[ListPot],Liste03[Platz],Liste03[[#This Row],[Platz]],Liste03[Mult],"&lt;="&amp;Liste03[[#This Row],[Mult]])+SUMIFS(Liste03[ListPot],Liste03[Platz],"&lt;"&amp;Liste03[[#This Row],[Platz]])*Liste03[[#This Row],[ListPot]]</f>
        <v>48</v>
      </c>
      <c r="AM52" s="14">
        <f>IF(AND(NOT(ISBLANK(AE$3)),Liste03[[#This Row],[ListPotKum]]&lt;=Reststimmen),Liste03[[#This Row],[ListPot]],0)</f>
        <v>0</v>
      </c>
      <c r="AN52" s="4">
        <f>MIN(SUMIFS(Liste03[Wahl],Liste03[Platz],Liste03[[#This Row],[Platz]]),3)*(Liste03[[#This Row],[Mult]]=1)*StimmenzahlOk</f>
        <v>0</v>
      </c>
      <c r="AO52" s="15">
        <f>SUMIFS(Liste03[ListVerg],Liste03[Platz],Liste03[[#This Row],[Platz]])*(Liste03[[#This Row],[Mult]]=1)*ListenkreuzeOk</f>
        <v>0</v>
      </c>
      <c r="AP52" s="4">
        <f>Liste03[[#This Row],[Liste]]+Liste03[[#This Row],[Einzel]]</f>
        <v>0</v>
      </c>
      <c r="AR52" s="8"/>
      <c r="AS52" s="3"/>
      <c r="AT52" s="28"/>
      <c r="AU52" t="b">
        <f>AND((Liste04[[#This Row],[Wahl]]=0),LEN(Liste04[[#This Row],[Wahl]])=1)</f>
        <v>0</v>
      </c>
      <c r="AV52">
        <f t="array" ref="AV52">SUM((ROW(Liste04[Platz])&lt;=ROW())*(Liste04[Platz]=Liste04[[#This Row],[Platz]])*NOT(Liste04[IstGestrichen]))*NOT(Liste04[[#This Row],[IstGestrichen]])</f>
        <v>48</v>
      </c>
      <c r="AW52">
        <f t="array" ref="AW52">MIN(SUMIFS(Liste04[Wahl],Liste04[Platz],Liste04[[#This Row],[Platz]]),3)</f>
        <v>0</v>
      </c>
      <c r="AX52">
        <f>(Liste04[[#This Row],[Mult]]&gt;Liste04[[#This Row],[GülzST2]])*1*NOT(Liste04[[#This Row],[IstGestrichen]])</f>
        <v>1</v>
      </c>
      <c r="AY52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2">
        <f>IF(AND(NOT(ISBLANK(AR$3)),Liste04[[#This Row],[ListPotKum]]&lt;=Reststimmen),Liste04[[#This Row],[ListPot]],0)</f>
        <v>0</v>
      </c>
      <c r="BA52" s="4">
        <f>MIN(SUMIFS(Liste04[Wahl],Liste04[Platz],Liste04[[#This Row],[Platz]]),3)*(Liste04[[#This Row],[Mult]]=1)*StimmenzahlOk</f>
        <v>0</v>
      </c>
      <c r="BB52" s="4">
        <f>SUMIFS(Liste04[ListVerg],Liste04[Platz],Liste04[[#This Row],[Platz]])*(Liste04[[#This Row],[Mult]]=1)*ListenkreuzeOk</f>
        <v>0</v>
      </c>
      <c r="BC52" s="4">
        <f>Liste04[[#This Row],[Liste]]+Liste04[[#This Row],[Einzel]]</f>
        <v>0</v>
      </c>
      <c r="BE52" s="8"/>
      <c r="BF52" s="3">
        <v>548</v>
      </c>
      <c r="BG52" s="28" t="s">
        <v>472</v>
      </c>
      <c r="BH52" s="9" t="b">
        <f>AND((Liste05[[#This Row],[Wahl]]=0),LEN(Liste05[[#This Row],[Wahl]])=1)</f>
        <v>0</v>
      </c>
      <c r="BI52" s="9">
        <f t="array" ref="BI52">SUM((ROW(Liste05[Platz])&lt;=ROW())*(Liste05[Platz]=Liste05[[#This Row],[Platz]])*NOT(Liste05[IstGestrichen]))*NOT(Liste05[[#This Row],[IstGestrichen]])</f>
        <v>1</v>
      </c>
      <c r="BJ52" s="9">
        <f t="array" ref="BJ52">MIN(SUMIFS(Liste05[Wahl],Liste05[Platz],Liste05[[#This Row],[Platz]]),3)</f>
        <v>0</v>
      </c>
      <c r="BK52" s="9">
        <f>(Liste05[[#This Row],[Mult]]&gt;Liste05[[#This Row],[GülzST2]])*1*NOT(Liste05[[#This Row],[IstGestrichen]])</f>
        <v>1</v>
      </c>
      <c r="BL52" s="9">
        <f>SUMIFS(Liste05[ListPot],Liste05[Platz],Liste05[[#This Row],[Platz]],Liste05[Mult],"&lt;="&amp;Liste05[[#This Row],[Mult]])+SUMIFS(Liste05[ListPot],Liste05[Platz],"&lt;"&amp;Liste05[[#This Row],[Platz]])*Liste05[[#This Row],[ListPot]]</f>
        <v>48</v>
      </c>
      <c r="BM52" s="14">
        <f>IF(AND(NOT(ISBLANK(BE$3)),Liste05[[#This Row],[ListPotKum]]&lt;=Reststimmen),Liste05[[#This Row],[ListPot]],0)</f>
        <v>0</v>
      </c>
      <c r="BN52" s="4">
        <f>MIN(SUMIFS(Liste05[Wahl],Liste05[Platz],Liste05[[#This Row],[Platz]]),3)*(Liste05[[#This Row],[Mult]]=1)*StimmenzahlOk</f>
        <v>0</v>
      </c>
      <c r="BO52" s="15">
        <f>SUMIFS(Liste05[ListVerg],Liste05[Platz],Liste05[[#This Row],[Platz]])*(Liste05[[#This Row],[Mult]]=1)*ListenkreuzeOk</f>
        <v>0</v>
      </c>
      <c r="BP52" s="4">
        <f>Liste05[[#This Row],[Liste]]+Liste05[[#This Row],[Einzel]]</f>
        <v>0</v>
      </c>
      <c r="CE52" s="8"/>
      <c r="CF52" s="3">
        <v>748</v>
      </c>
      <c r="CG52" s="28" t="s">
        <v>522</v>
      </c>
      <c r="CH52" s="9" t="b">
        <f>AND((Liste07[[#This Row],[Wahl]]=0),LEN(Liste07[[#This Row],[Wahl]])=1)</f>
        <v>0</v>
      </c>
      <c r="CI52" s="9">
        <f t="array" ref="CI52">SUM((ROW(Liste07[Platz])&lt;=ROW())*(Liste07[Platz]=Liste07[[#This Row],[Platz]])*NOT(Liste07[IstGestrichen]))*NOT(Liste07[[#This Row],[IstGestrichen]])</f>
        <v>1</v>
      </c>
      <c r="CJ52" s="9">
        <f t="array" ref="CJ52">MIN(SUMIFS(Liste07[Wahl],Liste07[Platz],Liste07[[#This Row],[Platz]]),3)</f>
        <v>0</v>
      </c>
      <c r="CK52" s="9">
        <f>(Liste07[[#This Row],[Mult]]&gt;Liste07[[#This Row],[GülzST2]])*1*NOT(Liste07[[#This Row],[IstGestrichen]])</f>
        <v>1</v>
      </c>
      <c r="CL52" s="9">
        <f>SUMIFS(Liste07[ListPot],Liste07[Platz],Liste07[[#This Row],[Platz]],Liste07[Mult],"&lt;="&amp;Liste07[[#This Row],[Mult]])+SUMIFS(Liste07[ListPot],Liste07[Platz],"&lt;"&amp;Liste07[[#This Row],[Platz]])*Liste07[[#This Row],[ListPot]]</f>
        <v>48</v>
      </c>
      <c r="CM52" s="14">
        <f>IF(AND(NOT(ISBLANK(CE$3)),Liste07[[#This Row],[ListPotKum]]&lt;=Reststimmen),Liste07[[#This Row],[ListPot]],0)</f>
        <v>0</v>
      </c>
      <c r="CN52" s="4">
        <f>MIN(SUMIFS(Liste07[Wahl],Liste07[Platz],Liste07[[#This Row],[Platz]]),3)*(Liste07[[#This Row],[Mult]]=1)*StimmenzahlOk</f>
        <v>0</v>
      </c>
      <c r="CO52" s="15">
        <f>SUMIFS(Liste07[ListVerg],Liste07[Platz],Liste07[[#This Row],[Platz]])*(Liste07[[#This Row],[Mult]]=1)*ListenkreuzeOk</f>
        <v>0</v>
      </c>
      <c r="CP52" s="4">
        <f>Liste07[[#This Row],[Liste]]+Liste07[[#This Row],[Einzel]]</f>
        <v>0</v>
      </c>
      <c r="CR52" s="42"/>
      <c r="CS52" s="3">
        <v>848</v>
      </c>
      <c r="CT52" s="37" t="s">
        <v>573</v>
      </c>
      <c r="CU52" s="9" t="b">
        <f>AND((Liste08[[#This Row],[Wahl]]=0),LEN(Liste08[[#This Row],[Wahl]])=1)</f>
        <v>0</v>
      </c>
      <c r="CV52" s="9">
        <f t="array" ref="CV52">SUM((ROW(Liste08[Platz])&lt;=ROW())*(Liste08[Platz]=Liste08[[#This Row],[Platz]])*NOT(Liste08[IstGestrichen]))*NOT(Liste08[[#This Row],[IstGestrichen]])</f>
        <v>1</v>
      </c>
      <c r="CW52" s="9">
        <f t="array" ref="CW52">MIN(SUMIFS(Liste08[Wahl],Liste08[Platz],Liste08[[#This Row],[Platz]]),3)</f>
        <v>0</v>
      </c>
      <c r="CX52" s="9">
        <f>(Liste08[[#This Row],[Mult]]&gt;Liste08[[#This Row],[GülzST2]])*1*NOT(Liste08[[#This Row],[IstGestrichen]])</f>
        <v>1</v>
      </c>
      <c r="CY52" s="9">
        <f>SUMIFS(Liste08[ListPot],Liste08[Platz],Liste08[[#This Row],[Platz]],Liste08[Mult],"&lt;="&amp;Liste08[[#This Row],[Mult]])+SUMIFS(Liste08[ListPot],Liste08[Platz],"&lt;"&amp;Liste08[[#This Row],[Platz]])*Liste08[[#This Row],[ListPot]]</f>
        <v>48</v>
      </c>
      <c r="CZ52" s="14">
        <f>IF(AND(NOT(ISBLANK(CR$3)),Liste08[[#This Row],[ListPotKum]]&lt;=Reststimmen),Liste08[[#This Row],[ListPot]],0)</f>
        <v>0</v>
      </c>
      <c r="DA52" s="4">
        <f>MIN(SUMIFS(Liste08[Wahl],Liste08[Platz],Liste08[[#This Row],[Platz]]),3)*(Liste08[[#This Row],[Mult]]=1)*StimmenzahlOk</f>
        <v>0</v>
      </c>
      <c r="DB52" s="15">
        <f>SUMIFS(Liste08[ListVerg],Liste08[Platz],Liste08[[#This Row],[Platz]])*(Liste08[[#This Row],[Mult]]=1)*ListenkreuzeOk</f>
        <v>0</v>
      </c>
      <c r="DC52" s="4">
        <f>Liste08[[#This Row],[Liste]]+Liste08[[#This Row],[Einzel]]</f>
        <v>0</v>
      </c>
    </row>
    <row r="53" spans="5:107" s="17" customFormat="1" ht="15.75" x14ac:dyDescent="0.25">
      <c r="E53" s="8"/>
      <c r="F53" s="3">
        <v>149</v>
      </c>
      <c r="G53" s="2" t="s">
        <v>321</v>
      </c>
      <c r="H53" s="9" t="b">
        <f>AND((Liste01[[#This Row],[Wahl]]=0),LEN(Liste01[[#This Row],[Wahl]])=1)</f>
        <v>0</v>
      </c>
      <c r="I53" s="9">
        <f t="array" ref="I53">SUM((ROW(Liste01[Platz])&lt;=ROW())*(Liste01[Platz]=Liste01[[#This Row],[Platz]])*NOT(Liste01[IstGestrichen]))*NOT(Liste01[[#This Row],[IstGestrichen]])</f>
        <v>1</v>
      </c>
      <c r="J53" s="9">
        <f t="array" ref="J53">MIN(SUMIFS(Liste01[Wahl],Liste01[Platz],Liste01[[#This Row],[Platz]]),3)</f>
        <v>0</v>
      </c>
      <c r="K53" s="9">
        <f>(Liste01[[#This Row],[Mult]]&gt;Liste01[[#This Row],[GülzST2]])*1*NOT(Liste01[[#This Row],[IstGestrichen]])</f>
        <v>1</v>
      </c>
      <c r="L53" s="9">
        <f>SUMIFS(Liste01[ListPot],Liste01[Platz],Liste01[[#This Row],[Platz]],Liste01[Mult],"&lt;="&amp;Liste01[[#This Row],[Mult]])+SUMIFS(Liste01[ListPot],Liste01[Platz],"&lt;"&amp;Liste01[[#This Row],[Platz]])*Liste01[[#This Row],[ListPot]]</f>
        <v>49</v>
      </c>
      <c r="M53" s="14">
        <f>IF(AND(NOT(ISBLANK(E$3)),Liste01[[#This Row],[ListPotKum]]&lt;=Reststimmen),Liste01[[#This Row],[ListPot]],0)</f>
        <v>0</v>
      </c>
      <c r="N53" s="4">
        <f>MIN(SUMIFS(Liste01[Wahl],Liste01[Platz],Liste01[[#This Row],[Platz]]),3)*(Liste01[[#This Row],[Mult]]=1)*StimmenzahlOk</f>
        <v>0</v>
      </c>
      <c r="O53" s="15">
        <f>SUMIFS(Liste01[ListVerg],Liste01[Platz],Liste01[[#This Row],[Platz]])*(Liste01[[#This Row],[Mult]]=1)*ListenkreuzeOk</f>
        <v>0</v>
      </c>
      <c r="P53" s="4">
        <f>Liste01[[#This Row],[Liste]]+Liste01[[#This Row],[Einzel]]</f>
        <v>0</v>
      </c>
      <c r="R53" s="8"/>
      <c r="S53" s="3">
        <v>249</v>
      </c>
      <c r="T53" s="28" t="s">
        <v>371</v>
      </c>
      <c r="U53" s="9" t="b">
        <f>AND((Liste02[[#This Row],[Wahl]]=0),LEN(Liste02[[#This Row],[Wahl]])=1)</f>
        <v>0</v>
      </c>
      <c r="V53" s="9">
        <f t="array" ref="V53">SUM((ROW(Liste02[Platz])&lt;=ROW())*(Liste02[Platz]=Liste02[[#This Row],[Platz]])*NOT(Liste02[IstGestrichen]))*NOT(Liste02[[#This Row],[IstGestrichen]])</f>
        <v>1</v>
      </c>
      <c r="W53" s="9">
        <f t="array" ref="W53">MIN(SUMIFS(Liste02[Wahl],Liste02[Platz],Liste02[[#This Row],[Platz]]),3)</f>
        <v>0</v>
      </c>
      <c r="X53" s="9">
        <f>(Liste02[[#This Row],[Mult]]&gt;Liste02[[#This Row],[GülzST2]])*1*NOT(Liste02[[#This Row],[IstGestrichen]])</f>
        <v>1</v>
      </c>
      <c r="Y53" s="9">
        <f>SUMIFS(Liste02[ListPot],Liste02[Platz],Liste02[[#This Row],[Platz]],Liste02[Mult],"&lt;="&amp;Liste02[[#This Row],[Mult]])+SUMIFS(Liste02[ListPot],Liste02[Platz],"&lt;"&amp;Liste02[[#This Row],[Platz]])*Liste02[[#This Row],[ListPot]]</f>
        <v>49</v>
      </c>
      <c r="Z53" s="14">
        <f>IF(AND(NOT(ISBLANK(R$3)),Liste02[[#This Row],[ListPotKum]]&lt;=Reststimmen),Liste02[[#This Row],[ListPot]],0)</f>
        <v>0</v>
      </c>
      <c r="AA53" s="4">
        <f>MIN(SUMIFS(Liste02[Wahl],Liste02[Platz],Liste02[[#This Row],[Platz]]),3)*(Liste02[[#This Row],[Mult]]=1)*StimmenzahlOk</f>
        <v>0</v>
      </c>
      <c r="AB53" s="15">
        <f>SUMIFS(Liste02[ListVerg],Liste02[Platz],Liste02[[#This Row],[Platz]])*(Liste02[[#This Row],[Mult]]=1)*ListenkreuzeOk</f>
        <v>0</v>
      </c>
      <c r="AC53" s="4">
        <f>Liste02[[#This Row],[Liste]]+Liste02[[#This Row],[Einzel]]</f>
        <v>0</v>
      </c>
      <c r="AE53" s="8"/>
      <c r="AF53" s="3">
        <v>349</v>
      </c>
      <c r="AG53" s="28" t="s">
        <v>421</v>
      </c>
      <c r="AH53" s="9" t="b">
        <f>AND((Liste03[[#This Row],[Wahl]]=0),LEN(Liste03[[#This Row],[Wahl]])=1)</f>
        <v>0</v>
      </c>
      <c r="AI53" s="9">
        <f t="array" ref="AI53">SUM((ROW(Liste03[Platz])&lt;=ROW())*(Liste03[Platz]=Liste03[[#This Row],[Platz]])*NOT(Liste03[IstGestrichen]))*NOT(Liste03[[#This Row],[IstGestrichen]])</f>
        <v>1</v>
      </c>
      <c r="AJ53" s="9">
        <f t="array" ref="AJ53">MIN(SUMIFS(Liste03[Wahl],Liste03[Platz],Liste03[[#This Row],[Platz]]),3)</f>
        <v>0</v>
      </c>
      <c r="AK53" s="9">
        <f>(Liste03[[#This Row],[Mult]]&gt;Liste03[[#This Row],[GülzST2]])*1*NOT(Liste03[[#This Row],[IstGestrichen]])</f>
        <v>1</v>
      </c>
      <c r="AL53" s="9">
        <f>SUMIFS(Liste03[ListPot],Liste03[Platz],Liste03[[#This Row],[Platz]],Liste03[Mult],"&lt;="&amp;Liste03[[#This Row],[Mult]])+SUMIFS(Liste03[ListPot],Liste03[Platz],"&lt;"&amp;Liste03[[#This Row],[Platz]])*Liste03[[#This Row],[ListPot]]</f>
        <v>49</v>
      </c>
      <c r="AM53" s="14">
        <f>IF(AND(NOT(ISBLANK(AE$3)),Liste03[[#This Row],[ListPotKum]]&lt;=Reststimmen),Liste03[[#This Row],[ListPot]],0)</f>
        <v>0</v>
      </c>
      <c r="AN53" s="4">
        <f>MIN(SUMIFS(Liste03[Wahl],Liste03[Platz],Liste03[[#This Row],[Platz]]),3)*(Liste03[[#This Row],[Mult]]=1)*StimmenzahlOk</f>
        <v>0</v>
      </c>
      <c r="AO53" s="15">
        <f>SUMIFS(Liste03[ListVerg],Liste03[Platz],Liste03[[#This Row],[Platz]])*(Liste03[[#This Row],[Mult]]=1)*ListenkreuzeOk</f>
        <v>0</v>
      </c>
      <c r="AP53" s="4">
        <f>Liste03[[#This Row],[Liste]]+Liste03[[#This Row],[Einzel]]</f>
        <v>0</v>
      </c>
      <c r="AR53" s="8"/>
      <c r="AS53" s="3"/>
      <c r="AT53" s="28"/>
      <c r="AU53" s="11" t="b">
        <f>AND((Liste04[[#This Row],[Wahl]]=0),LEN(Liste04[[#This Row],[Wahl]])=1)</f>
        <v>0</v>
      </c>
      <c r="AV53" s="11">
        <f t="array" ref="AV53">SUM((ROW(Liste04[Platz])&lt;=ROW())*(Liste04[Platz]=Liste04[[#This Row],[Platz]])*NOT(Liste04[IstGestrichen]))*NOT(Liste04[[#This Row],[IstGestrichen]])</f>
        <v>49</v>
      </c>
      <c r="AW53" s="11">
        <f t="array" ref="AW53">MIN(SUMIFS(Liste04[Wahl],Liste04[Platz],Liste04[[#This Row],[Platz]]),3)</f>
        <v>0</v>
      </c>
      <c r="AX53" s="11">
        <f>(Liste04[[#This Row],[Mult]]&gt;Liste04[[#This Row],[GülzST2]])*1*NOT(Liste04[[#This Row],[IstGestrichen]])</f>
        <v>1</v>
      </c>
      <c r="AY53" s="11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3" s="11">
        <f>IF(AND(NOT(ISBLANK(AR$3)),Liste04[[#This Row],[ListPotKum]]&lt;=Reststimmen),Liste04[[#This Row],[ListPot]],0)</f>
        <v>0</v>
      </c>
      <c r="BA53" s="12">
        <f>MIN(SUMIFS(Liste04[Wahl],Liste04[Platz],Liste04[[#This Row],[Platz]]),3)*(Liste04[[#This Row],[Mult]]=1)*StimmenzahlOk</f>
        <v>0</v>
      </c>
      <c r="BB53" s="12">
        <f>SUMIFS(Liste04[ListVerg],Liste04[Platz],Liste04[[#This Row],[Platz]])*(Liste04[[#This Row],[Mult]]=1)*ListenkreuzeOk</f>
        <v>0</v>
      </c>
      <c r="BC53" s="12">
        <f>Liste04[[#This Row],[Liste]]+Liste04[[#This Row],[Einzel]]</f>
        <v>0</v>
      </c>
      <c r="BE53" s="8"/>
      <c r="BF53" s="3">
        <v>549</v>
      </c>
      <c r="BG53" s="28" t="s">
        <v>473</v>
      </c>
      <c r="BH53" s="9" t="b">
        <f>AND((Liste05[[#This Row],[Wahl]]=0),LEN(Liste05[[#This Row],[Wahl]])=1)</f>
        <v>0</v>
      </c>
      <c r="BI53" s="9">
        <f t="array" ref="BI53">SUM((ROW(Liste05[Platz])&lt;=ROW())*(Liste05[Platz]=Liste05[[#This Row],[Platz]])*NOT(Liste05[IstGestrichen]))*NOT(Liste05[[#This Row],[IstGestrichen]])</f>
        <v>1</v>
      </c>
      <c r="BJ53" s="9">
        <f t="array" ref="BJ53">MIN(SUMIFS(Liste05[Wahl],Liste05[Platz],Liste05[[#This Row],[Platz]]),3)</f>
        <v>0</v>
      </c>
      <c r="BK53" s="9">
        <f>(Liste05[[#This Row],[Mult]]&gt;Liste05[[#This Row],[GülzST2]])*1*NOT(Liste05[[#This Row],[IstGestrichen]])</f>
        <v>1</v>
      </c>
      <c r="BL53" s="9">
        <f>SUMIFS(Liste05[ListPot],Liste05[Platz],Liste05[[#This Row],[Platz]],Liste05[Mult],"&lt;="&amp;Liste05[[#This Row],[Mult]])+SUMIFS(Liste05[ListPot],Liste05[Platz],"&lt;"&amp;Liste05[[#This Row],[Platz]])*Liste05[[#This Row],[ListPot]]</f>
        <v>49</v>
      </c>
      <c r="BM53" s="14">
        <f>IF(AND(NOT(ISBLANK(BE$3)),Liste05[[#This Row],[ListPotKum]]&lt;=Reststimmen),Liste05[[#This Row],[ListPot]],0)</f>
        <v>0</v>
      </c>
      <c r="BN53" s="4">
        <f>MIN(SUMIFS(Liste05[Wahl],Liste05[Platz],Liste05[[#This Row],[Platz]]),3)*(Liste05[[#This Row],[Mult]]=1)*StimmenzahlOk</f>
        <v>0</v>
      </c>
      <c r="BO53" s="15">
        <f>SUMIFS(Liste05[ListVerg],Liste05[Platz],Liste05[[#This Row],[Platz]])*(Liste05[[#This Row],[Mult]]=1)*ListenkreuzeOk</f>
        <v>0</v>
      </c>
      <c r="BP53" s="4">
        <f>Liste05[[#This Row],[Liste]]+Liste05[[#This Row],[Einzel]]</f>
        <v>0</v>
      </c>
      <c r="CE53" s="8"/>
      <c r="CF53" s="3">
        <v>749</v>
      </c>
      <c r="CG53" s="28" t="s">
        <v>523</v>
      </c>
      <c r="CH53" s="9" t="b">
        <f>AND((Liste07[[#This Row],[Wahl]]=0),LEN(Liste07[[#This Row],[Wahl]])=1)</f>
        <v>0</v>
      </c>
      <c r="CI53" s="9">
        <f t="array" ref="CI53">SUM((ROW(Liste07[Platz])&lt;=ROW())*(Liste07[Platz]=Liste07[[#This Row],[Platz]])*NOT(Liste07[IstGestrichen]))*NOT(Liste07[[#This Row],[IstGestrichen]])</f>
        <v>1</v>
      </c>
      <c r="CJ53" s="9">
        <f t="array" ref="CJ53">MIN(SUMIFS(Liste07[Wahl],Liste07[Platz],Liste07[[#This Row],[Platz]]),3)</f>
        <v>0</v>
      </c>
      <c r="CK53" s="9">
        <f>(Liste07[[#This Row],[Mult]]&gt;Liste07[[#This Row],[GülzST2]])*1*NOT(Liste07[[#This Row],[IstGestrichen]])</f>
        <v>1</v>
      </c>
      <c r="CL53" s="9">
        <f>SUMIFS(Liste07[ListPot],Liste07[Platz],Liste07[[#This Row],[Platz]],Liste07[Mult],"&lt;="&amp;Liste07[[#This Row],[Mult]])+SUMIFS(Liste07[ListPot],Liste07[Platz],"&lt;"&amp;Liste07[[#This Row],[Platz]])*Liste07[[#This Row],[ListPot]]</f>
        <v>49</v>
      </c>
      <c r="CM53" s="14">
        <f>IF(AND(NOT(ISBLANK(CE$3)),Liste07[[#This Row],[ListPotKum]]&lt;=Reststimmen),Liste07[[#This Row],[ListPot]],0)</f>
        <v>0</v>
      </c>
      <c r="CN53" s="4">
        <f>MIN(SUMIFS(Liste07[Wahl],Liste07[Platz],Liste07[[#This Row],[Platz]]),3)*(Liste07[[#This Row],[Mult]]=1)*StimmenzahlOk</f>
        <v>0</v>
      </c>
      <c r="CO53" s="15">
        <f>SUMIFS(Liste07[ListVerg],Liste07[Platz],Liste07[[#This Row],[Platz]])*(Liste07[[#This Row],[Mult]]=1)*ListenkreuzeOk</f>
        <v>0</v>
      </c>
      <c r="CP53" s="4">
        <f>Liste07[[#This Row],[Liste]]+Liste07[[#This Row],[Einzel]]</f>
        <v>0</v>
      </c>
      <c r="CR53" s="8"/>
      <c r="CS53" s="3">
        <v>849</v>
      </c>
      <c r="CT53" s="28" t="s">
        <v>574</v>
      </c>
      <c r="CU53" s="9" t="b">
        <f>AND((Liste08[[#This Row],[Wahl]]=0),LEN(Liste08[[#This Row],[Wahl]])=1)</f>
        <v>0</v>
      </c>
      <c r="CV53" s="9">
        <f t="array" ref="CV53">SUM((ROW(Liste08[Platz])&lt;=ROW())*(Liste08[Platz]=Liste08[[#This Row],[Platz]])*NOT(Liste08[IstGestrichen]))*NOT(Liste08[[#This Row],[IstGestrichen]])</f>
        <v>1</v>
      </c>
      <c r="CW53" s="9">
        <f t="array" ref="CW53">MIN(SUMIFS(Liste08[Wahl],Liste08[Platz],Liste08[[#This Row],[Platz]]),3)</f>
        <v>0</v>
      </c>
      <c r="CX53" s="9">
        <f>(Liste08[[#This Row],[Mult]]&gt;Liste08[[#This Row],[GülzST2]])*1*NOT(Liste08[[#This Row],[IstGestrichen]])</f>
        <v>1</v>
      </c>
      <c r="CY53" s="9">
        <f>SUMIFS(Liste08[ListPot],Liste08[Platz],Liste08[[#This Row],[Platz]],Liste08[Mult],"&lt;="&amp;Liste08[[#This Row],[Mult]])+SUMIFS(Liste08[ListPot],Liste08[Platz],"&lt;"&amp;Liste08[[#This Row],[Platz]])*Liste08[[#This Row],[ListPot]]</f>
        <v>49</v>
      </c>
      <c r="CZ53" s="14">
        <f>IF(AND(NOT(ISBLANK(CR$3)),Liste08[[#This Row],[ListPotKum]]&lt;=Reststimmen),Liste08[[#This Row],[ListPot]],0)</f>
        <v>0</v>
      </c>
      <c r="DA53" s="4">
        <f>MIN(SUMIFS(Liste08[Wahl],Liste08[Platz],Liste08[[#This Row],[Platz]]),3)*(Liste08[[#This Row],[Mult]]=1)*StimmenzahlOk</f>
        <v>0</v>
      </c>
      <c r="DB53" s="15">
        <f>SUMIFS(Liste08[ListVerg],Liste08[Platz],Liste08[[#This Row],[Platz]])*(Liste08[[#This Row],[Mult]]=1)*ListenkreuzeOk</f>
        <v>0</v>
      </c>
      <c r="DC53" s="4">
        <f>Liste08[[#This Row],[Liste]]+Liste08[[#This Row],[Einzel]]</f>
        <v>0</v>
      </c>
    </row>
    <row r="54" spans="5:107" s="17" customFormat="1" ht="15.75" x14ac:dyDescent="0.25">
      <c r="E54" s="8"/>
      <c r="F54" s="3">
        <v>150</v>
      </c>
      <c r="G54" s="2" t="s">
        <v>322</v>
      </c>
      <c r="H54" s="9" t="b">
        <f>AND((Liste01[[#This Row],[Wahl]]=0),LEN(Liste01[[#This Row],[Wahl]])=1)</f>
        <v>0</v>
      </c>
      <c r="I54" s="9">
        <f t="array" ref="I54">SUM((ROW(Liste01[Platz])&lt;=ROW())*(Liste01[Platz]=Liste01[[#This Row],[Platz]])*NOT(Liste01[IstGestrichen]))*NOT(Liste01[[#This Row],[IstGestrichen]])</f>
        <v>1</v>
      </c>
      <c r="J54" s="9">
        <f t="array" ref="J54">MIN(SUMIFS(Liste01[Wahl],Liste01[Platz],Liste01[[#This Row],[Platz]]),3)</f>
        <v>0</v>
      </c>
      <c r="K54" s="9">
        <f>(Liste01[[#This Row],[Mult]]&gt;Liste01[[#This Row],[GülzST2]])*1*NOT(Liste01[[#This Row],[IstGestrichen]])</f>
        <v>1</v>
      </c>
      <c r="L54" s="9">
        <f>SUMIFS(Liste01[ListPot],Liste01[Platz],Liste01[[#This Row],[Platz]],Liste01[Mult],"&lt;="&amp;Liste01[[#This Row],[Mult]])+SUMIFS(Liste01[ListPot],Liste01[Platz],"&lt;"&amp;Liste01[[#This Row],[Platz]])*Liste01[[#This Row],[ListPot]]</f>
        <v>50</v>
      </c>
      <c r="M54" s="14">
        <f>IF(AND(NOT(ISBLANK(E$3)),Liste01[[#This Row],[ListPotKum]]&lt;=Reststimmen),Liste01[[#This Row],[ListPot]],0)</f>
        <v>0</v>
      </c>
      <c r="N54" s="4">
        <f>MIN(SUMIFS(Liste01[Wahl],Liste01[Platz],Liste01[[#This Row],[Platz]]),3)*(Liste01[[#This Row],[Mult]]=1)*StimmenzahlOk</f>
        <v>0</v>
      </c>
      <c r="O54" s="15">
        <f>SUMIFS(Liste01[ListVerg],Liste01[Platz],Liste01[[#This Row],[Platz]])*(Liste01[[#This Row],[Mult]]=1)*ListenkreuzeOk</f>
        <v>0</v>
      </c>
      <c r="P54" s="4">
        <f>Liste01[[#This Row],[Liste]]+Liste01[[#This Row],[Einzel]]</f>
        <v>0</v>
      </c>
      <c r="R54" s="8"/>
      <c r="S54" s="3">
        <v>250</v>
      </c>
      <c r="T54" s="28" t="s">
        <v>372</v>
      </c>
      <c r="U54" s="9" t="b">
        <f>AND((Liste02[[#This Row],[Wahl]]=0),LEN(Liste02[[#This Row],[Wahl]])=1)</f>
        <v>0</v>
      </c>
      <c r="V54" s="9">
        <f t="array" ref="V54">SUM((ROW(Liste02[Platz])&lt;=ROW())*(Liste02[Platz]=Liste02[[#This Row],[Platz]])*NOT(Liste02[IstGestrichen]))*NOT(Liste02[[#This Row],[IstGestrichen]])</f>
        <v>1</v>
      </c>
      <c r="W54" s="9">
        <f t="array" ref="W54">MIN(SUMIFS(Liste02[Wahl],Liste02[Platz],Liste02[[#This Row],[Platz]]),3)</f>
        <v>0</v>
      </c>
      <c r="X54" s="9">
        <f>(Liste02[[#This Row],[Mult]]&gt;Liste02[[#This Row],[GülzST2]])*1*NOT(Liste02[[#This Row],[IstGestrichen]])</f>
        <v>1</v>
      </c>
      <c r="Y54" s="9">
        <f>SUMIFS(Liste02[ListPot],Liste02[Platz],Liste02[[#This Row],[Platz]],Liste02[Mult],"&lt;="&amp;Liste02[[#This Row],[Mult]])+SUMIFS(Liste02[ListPot],Liste02[Platz],"&lt;"&amp;Liste02[[#This Row],[Platz]])*Liste02[[#This Row],[ListPot]]</f>
        <v>50</v>
      </c>
      <c r="Z54" s="14">
        <f>IF(AND(NOT(ISBLANK(R$3)),Liste02[[#This Row],[ListPotKum]]&lt;=Reststimmen),Liste02[[#This Row],[ListPot]],0)</f>
        <v>0</v>
      </c>
      <c r="AA54" s="4">
        <f>MIN(SUMIFS(Liste02[Wahl],Liste02[Platz],Liste02[[#This Row],[Platz]]),3)*(Liste02[[#This Row],[Mult]]=1)*StimmenzahlOk</f>
        <v>0</v>
      </c>
      <c r="AB54" s="15">
        <f>SUMIFS(Liste02[ListVerg],Liste02[Platz],Liste02[[#This Row],[Platz]])*(Liste02[[#This Row],[Mult]]=1)*ListenkreuzeOk</f>
        <v>0</v>
      </c>
      <c r="AC54" s="4">
        <f>Liste02[[#This Row],[Liste]]+Liste02[[#This Row],[Einzel]]</f>
        <v>0</v>
      </c>
      <c r="AE54" s="8"/>
      <c r="AF54" s="3">
        <v>350</v>
      </c>
      <c r="AG54" s="28" t="s">
        <v>422</v>
      </c>
      <c r="AH54" s="9" t="b">
        <f>AND((Liste03[[#This Row],[Wahl]]=0),LEN(Liste03[[#This Row],[Wahl]])=1)</f>
        <v>0</v>
      </c>
      <c r="AI54" s="9">
        <f t="array" ref="AI54">SUM((ROW(Liste03[Platz])&lt;=ROW())*(Liste03[Platz]=Liste03[[#This Row],[Platz]])*NOT(Liste03[IstGestrichen]))*NOT(Liste03[[#This Row],[IstGestrichen]])</f>
        <v>1</v>
      </c>
      <c r="AJ54" s="9">
        <f t="array" ref="AJ54">MIN(SUMIFS(Liste03[Wahl],Liste03[Platz],Liste03[[#This Row],[Platz]]),3)</f>
        <v>0</v>
      </c>
      <c r="AK54" s="9">
        <f>(Liste03[[#This Row],[Mult]]&gt;Liste03[[#This Row],[GülzST2]])*1*NOT(Liste03[[#This Row],[IstGestrichen]])</f>
        <v>1</v>
      </c>
      <c r="AL54" s="9">
        <f>SUMIFS(Liste03[ListPot],Liste03[Platz],Liste03[[#This Row],[Platz]],Liste03[Mult],"&lt;="&amp;Liste03[[#This Row],[Mult]])+SUMIFS(Liste03[ListPot],Liste03[Platz],"&lt;"&amp;Liste03[[#This Row],[Platz]])*Liste03[[#This Row],[ListPot]]</f>
        <v>50</v>
      </c>
      <c r="AM54" s="14">
        <f>IF(AND(NOT(ISBLANK(AE$3)),Liste03[[#This Row],[ListPotKum]]&lt;=Reststimmen),Liste03[[#This Row],[ListPot]],0)</f>
        <v>0</v>
      </c>
      <c r="AN54" s="4">
        <f>MIN(SUMIFS(Liste03[Wahl],Liste03[Platz],Liste03[[#This Row],[Platz]]),3)*(Liste03[[#This Row],[Mult]]=1)*StimmenzahlOk</f>
        <v>0</v>
      </c>
      <c r="AO54" s="15">
        <f>SUMIFS(Liste03[ListVerg],Liste03[Platz],Liste03[[#This Row],[Platz]])*(Liste03[[#This Row],[Mult]]=1)*ListenkreuzeOk</f>
        <v>0</v>
      </c>
      <c r="AP54" s="4">
        <f>Liste03[[#This Row],[Liste]]+Liste03[[#This Row],[Einzel]]</f>
        <v>0</v>
      </c>
      <c r="AR54" s="8"/>
      <c r="AS54" s="3"/>
      <c r="AT54" s="28"/>
      <c r="AU54" s="9" t="b">
        <f>AND((Liste04[[#This Row],[Wahl]]=0),LEN(Liste04[[#This Row],[Wahl]])=1)</f>
        <v>0</v>
      </c>
      <c r="AV54" s="9">
        <f t="array" ref="AV54">SUM((ROW(Liste04[Platz])&lt;=ROW())*(Liste04[Platz]=Liste04[[#This Row],[Platz]])*NOT(Liste04[IstGestrichen]))*NOT(Liste04[[#This Row],[IstGestrichen]])</f>
        <v>50</v>
      </c>
      <c r="AW54" s="9">
        <f t="array" ref="AW54">MIN(SUMIFS(Liste04[Wahl],Liste04[Platz],Liste04[[#This Row],[Platz]]),3)</f>
        <v>0</v>
      </c>
      <c r="AX54" s="9">
        <f>(Liste04[[#This Row],[Mult]]&gt;Liste04[[#This Row],[GülzST2]])*1*NOT(Liste04[[#This Row],[IstGestrichen]])</f>
        <v>1</v>
      </c>
      <c r="AY54" s="9">
        <f>SUMIFS(Liste04[ListPot],Liste04[Platz],Liste04[[#This Row],[Platz]],Liste04[Mult],"&lt;="&amp;Liste04[[#This Row],[Mult]])+SUMIFS(Liste04[ListPot],Liste04[Platz],"&lt;"&amp;Liste04[[#This Row],[Platz]])*Liste04[[#This Row],[ListPot]]</f>
        <v>0</v>
      </c>
      <c r="AZ54" s="14">
        <f>IF(AND(NOT(ISBLANK(AR$3)),Liste04[[#This Row],[ListPotKum]]&lt;=Reststimmen),Liste04[[#This Row],[ListPot]],0)</f>
        <v>0</v>
      </c>
      <c r="BA54" s="4">
        <f>MIN(SUMIFS(Liste04[Wahl],Liste04[Platz],Liste04[[#This Row],[Platz]]),3)*(Liste04[[#This Row],[Mult]]=1)*StimmenzahlOk</f>
        <v>0</v>
      </c>
      <c r="BB54" s="15">
        <f>SUMIFS(Liste04[ListVerg],Liste04[Platz],Liste04[[#This Row],[Platz]])*(Liste04[[#This Row],[Mult]]=1)*ListenkreuzeOk</f>
        <v>0</v>
      </c>
      <c r="BC54" s="4">
        <f>Liste04[[#This Row],[Liste]]+Liste04[[#This Row],[Einzel]]</f>
        <v>0</v>
      </c>
      <c r="BE54" s="8"/>
      <c r="BF54" s="3">
        <v>550</v>
      </c>
      <c r="BG54" s="28" t="s">
        <v>474</v>
      </c>
      <c r="BH54" s="9" t="b">
        <f>AND((Liste05[[#This Row],[Wahl]]=0),LEN(Liste05[[#This Row],[Wahl]])=1)</f>
        <v>0</v>
      </c>
      <c r="BI54" s="9">
        <f t="array" ref="BI54">SUM((ROW(Liste05[Platz])&lt;=ROW())*(Liste05[Platz]=Liste05[[#This Row],[Platz]])*NOT(Liste05[IstGestrichen]))*NOT(Liste05[[#This Row],[IstGestrichen]])</f>
        <v>1</v>
      </c>
      <c r="BJ54" s="9">
        <f t="array" ref="BJ54">MIN(SUMIFS(Liste05[Wahl],Liste05[Platz],Liste05[[#This Row],[Platz]]),3)</f>
        <v>0</v>
      </c>
      <c r="BK54" s="9">
        <f>(Liste05[[#This Row],[Mult]]&gt;Liste05[[#This Row],[GülzST2]])*1*NOT(Liste05[[#This Row],[IstGestrichen]])</f>
        <v>1</v>
      </c>
      <c r="BL54" s="9">
        <f>SUMIFS(Liste05[ListPot],Liste05[Platz],Liste05[[#This Row],[Platz]],Liste05[Mult],"&lt;="&amp;Liste05[[#This Row],[Mult]])+SUMIFS(Liste05[ListPot],Liste05[Platz],"&lt;"&amp;Liste05[[#This Row],[Platz]])*Liste05[[#This Row],[ListPot]]</f>
        <v>50</v>
      </c>
      <c r="BM54" s="14">
        <f>IF(AND(NOT(ISBLANK(BE$3)),Liste05[[#This Row],[ListPotKum]]&lt;=Reststimmen),Liste05[[#This Row],[ListPot]],0)</f>
        <v>0</v>
      </c>
      <c r="BN54" s="4">
        <f>MIN(SUMIFS(Liste05[Wahl],Liste05[Platz],Liste05[[#This Row],[Platz]]),3)*(Liste05[[#This Row],[Mult]]=1)*StimmenzahlOk</f>
        <v>0</v>
      </c>
      <c r="BO54" s="15">
        <f>SUMIFS(Liste05[ListVerg],Liste05[Platz],Liste05[[#This Row],[Platz]])*(Liste05[[#This Row],[Mult]]=1)*ListenkreuzeOk</f>
        <v>0</v>
      </c>
      <c r="BP54" s="4">
        <f>Liste05[[#This Row],[Liste]]+Liste05[[#This Row],[Einzel]]</f>
        <v>0</v>
      </c>
      <c r="CE54" s="8"/>
      <c r="CF54" s="3">
        <v>750</v>
      </c>
      <c r="CG54" s="28" t="s">
        <v>524</v>
      </c>
      <c r="CH54" s="9" t="b">
        <f>AND((Liste07[[#This Row],[Wahl]]=0),LEN(Liste07[[#This Row],[Wahl]])=1)</f>
        <v>0</v>
      </c>
      <c r="CI54" s="9">
        <f t="array" ref="CI54">SUM((ROW(Liste07[Platz])&lt;=ROW())*(Liste07[Platz]=Liste07[[#This Row],[Platz]])*NOT(Liste07[IstGestrichen]))*NOT(Liste07[[#This Row],[IstGestrichen]])</f>
        <v>1</v>
      </c>
      <c r="CJ54" s="9">
        <f t="array" ref="CJ54">MIN(SUMIFS(Liste07[Wahl],Liste07[Platz],Liste07[[#This Row],[Platz]]),3)</f>
        <v>0</v>
      </c>
      <c r="CK54" s="9">
        <f>(Liste07[[#This Row],[Mult]]&gt;Liste07[[#This Row],[GülzST2]])*1*NOT(Liste07[[#This Row],[IstGestrichen]])</f>
        <v>1</v>
      </c>
      <c r="CL54" s="9">
        <f>SUMIFS(Liste07[ListPot],Liste07[Platz],Liste07[[#This Row],[Platz]],Liste07[Mult],"&lt;="&amp;Liste07[[#This Row],[Mult]])+SUMIFS(Liste07[ListPot],Liste07[Platz],"&lt;"&amp;Liste07[[#This Row],[Platz]])*Liste07[[#This Row],[ListPot]]</f>
        <v>50</v>
      </c>
      <c r="CM54" s="14">
        <f>IF(AND(NOT(ISBLANK(CE$3)),Liste07[[#This Row],[ListPotKum]]&lt;=Reststimmen),Liste07[[#This Row],[ListPot]],0)</f>
        <v>0</v>
      </c>
      <c r="CN54" s="4">
        <f>MIN(SUMIFS(Liste07[Wahl],Liste07[Platz],Liste07[[#This Row],[Platz]]),3)*(Liste07[[#This Row],[Mult]]=1)*StimmenzahlOk</f>
        <v>0</v>
      </c>
      <c r="CO54" s="15">
        <f>SUMIFS(Liste07[ListVerg],Liste07[Platz],Liste07[[#This Row],[Platz]])*(Liste07[[#This Row],[Mult]]=1)*ListenkreuzeOk</f>
        <v>0</v>
      </c>
      <c r="CP54" s="4">
        <f>Liste07[[#This Row],[Liste]]+Liste07[[#This Row],[Einzel]]</f>
        <v>0</v>
      </c>
      <c r="CR54" s="8"/>
      <c r="CS54" s="3">
        <v>850</v>
      </c>
      <c r="CT54" s="28" t="s">
        <v>575</v>
      </c>
      <c r="CU54" s="9" t="b">
        <f>AND((Liste08[[#This Row],[Wahl]]=0),LEN(Liste08[[#This Row],[Wahl]])=1)</f>
        <v>0</v>
      </c>
      <c r="CV54" s="9">
        <f t="array" ref="CV54">SUM((ROW(Liste08[Platz])&lt;=ROW())*(Liste08[Platz]=Liste08[[#This Row],[Platz]])*NOT(Liste08[IstGestrichen]))*NOT(Liste08[[#This Row],[IstGestrichen]])</f>
        <v>1</v>
      </c>
      <c r="CW54" s="9">
        <f t="array" ref="CW54">MIN(SUMIFS(Liste08[Wahl],Liste08[Platz],Liste08[[#This Row],[Platz]]),3)</f>
        <v>0</v>
      </c>
      <c r="CX54" s="9">
        <f>(Liste08[[#This Row],[Mult]]&gt;Liste08[[#This Row],[GülzST2]])*1*NOT(Liste08[[#This Row],[IstGestrichen]])</f>
        <v>1</v>
      </c>
      <c r="CY54" s="9">
        <f>SUMIFS(Liste08[ListPot],Liste08[Platz],Liste08[[#This Row],[Platz]],Liste08[Mult],"&lt;="&amp;Liste08[[#This Row],[Mult]])+SUMIFS(Liste08[ListPot],Liste08[Platz],"&lt;"&amp;Liste08[[#This Row],[Platz]])*Liste08[[#This Row],[ListPot]]</f>
        <v>50</v>
      </c>
      <c r="CZ54" s="14">
        <f>IF(AND(NOT(ISBLANK(CR$3)),Liste08[[#This Row],[ListPotKum]]&lt;=Reststimmen),Liste08[[#This Row],[ListPot]],0)</f>
        <v>0</v>
      </c>
      <c r="DA54" s="4">
        <f>MIN(SUMIFS(Liste08[Wahl],Liste08[Platz],Liste08[[#This Row],[Platz]]),3)*(Liste08[[#This Row],[Mult]]=1)*StimmenzahlOk</f>
        <v>0</v>
      </c>
      <c r="DB54" s="15">
        <f>SUMIFS(Liste08[ListVerg],Liste08[Platz],Liste08[[#This Row],[Platz]])*(Liste08[[#This Row],[Mult]]=1)*ListenkreuzeOk</f>
        <v>0</v>
      </c>
      <c r="DC54" s="4">
        <f>Liste08[[#This Row],[Liste]]+Liste08[[#This Row],[Einzel]]</f>
        <v>0</v>
      </c>
    </row>
    <row r="55" spans="5:107" s="17" customFormat="1" x14ac:dyDescent="0.25">
      <c r="E55" s="16">
        <f>SUBTOTAL(109,Liste01[Wahl])</f>
        <v>0</v>
      </c>
      <c r="F55" s="25"/>
      <c r="G55" s="29"/>
      <c r="H55"/>
      <c r="I55"/>
      <c r="J55">
        <f>SUBTOTAL(109,Liste01[GülzST2])</f>
        <v>0</v>
      </c>
      <c r="K55">
        <f>SUBTOTAL(109,Liste01[ListPot])</f>
        <v>50</v>
      </c>
      <c r="L55"/>
      <c r="M55">
        <f>SUBTOTAL(109,Liste01[ListVerg])</f>
        <v>0</v>
      </c>
      <c r="N55" s="26">
        <f>SUBTOTAL(109,Liste01[Einzel])</f>
        <v>0</v>
      </c>
      <c r="O55" s="26">
        <f>SUBTOTAL(109,Liste01[Liste])</f>
        <v>0</v>
      </c>
      <c r="P55" s="26">
        <f>SUBTOTAL(109,Liste01[Gesamt])</f>
        <v>0</v>
      </c>
      <c r="R55" s="16">
        <f>SUBTOTAL(109,Liste02[Wahl])</f>
        <v>0</v>
      </c>
      <c r="S55" s="25"/>
      <c r="T55" s="29"/>
      <c r="U55"/>
      <c r="V55"/>
      <c r="W55">
        <f>SUBTOTAL(109,Liste02[GülzST2])</f>
        <v>0</v>
      </c>
      <c r="X55">
        <f>SUBTOTAL(109,Liste02[ListPot])</f>
        <v>50</v>
      </c>
      <c r="Y55"/>
      <c r="Z55">
        <f>SUBTOTAL(109,Liste02[ListVerg])</f>
        <v>0</v>
      </c>
      <c r="AA55" s="26">
        <f>SUBTOTAL(109,Liste02[Einzel])</f>
        <v>0</v>
      </c>
      <c r="AB55" s="26">
        <f>SUBTOTAL(109,Liste02[Liste])</f>
        <v>0</v>
      </c>
      <c r="AC55" s="26">
        <f>SUBTOTAL(109,Liste02[Gesamt])</f>
        <v>0</v>
      </c>
      <c r="AE55" s="16">
        <f>SUBTOTAL(109,Liste03[Wahl])</f>
        <v>0</v>
      </c>
      <c r="AF55" s="25"/>
      <c r="AG55" s="29"/>
      <c r="AH55"/>
      <c r="AI55"/>
      <c r="AJ55">
        <f>SUBTOTAL(109,Liste03[GülzST2])</f>
        <v>0</v>
      </c>
      <c r="AK55">
        <f>SUBTOTAL(109,Liste03[ListPot])</f>
        <v>50</v>
      </c>
      <c r="AL55"/>
      <c r="AM55">
        <f>SUBTOTAL(109,Liste03[ListVerg])</f>
        <v>0</v>
      </c>
      <c r="AN55" s="26">
        <f>SUBTOTAL(109,Liste03[Einzel])</f>
        <v>0</v>
      </c>
      <c r="AO55" s="26">
        <f>SUBTOTAL(109,Liste03[Liste])</f>
        <v>0</v>
      </c>
      <c r="AP55" s="26">
        <f>SUBTOTAL(109,Liste03[Gesamt])</f>
        <v>0</v>
      </c>
      <c r="AR55" s="16">
        <f>SUBTOTAL(109,Liste04[Wahl])</f>
        <v>0</v>
      </c>
      <c r="AS55" s="25"/>
      <c r="AT55" s="29"/>
      <c r="AU55"/>
      <c r="AV55"/>
      <c r="AW55">
        <f>SUBTOTAL(109,Liste04[GülzST2])</f>
        <v>0</v>
      </c>
      <c r="AX55">
        <f>SUBTOTAL(109,Liste04[ListPot])</f>
        <v>50</v>
      </c>
      <c r="AY55"/>
      <c r="AZ55">
        <f>SUBTOTAL(109,Liste04[ListVerg])</f>
        <v>0</v>
      </c>
      <c r="BA55" s="26">
        <f>SUBTOTAL(109,Liste04[Einzel])</f>
        <v>0</v>
      </c>
      <c r="BB55" s="26">
        <f>SUBTOTAL(109,Liste04[Liste])</f>
        <v>0</v>
      </c>
      <c r="BC55" s="26">
        <f>SUBTOTAL(109,Liste04[Gesamt])</f>
        <v>0</v>
      </c>
      <c r="BE55" s="16">
        <f>SUBTOTAL(109,Liste05[Wahl])</f>
        <v>0</v>
      </c>
      <c r="BF55" s="25"/>
      <c r="BG55" s="29"/>
      <c r="BH55"/>
      <c r="BI55"/>
      <c r="BJ55">
        <f>SUBTOTAL(109,Liste05[GülzST2])</f>
        <v>0</v>
      </c>
      <c r="BK55">
        <f>SUBTOTAL(109,Liste05[ListPot])</f>
        <v>50</v>
      </c>
      <c r="BL55"/>
      <c r="BM55">
        <f>SUBTOTAL(109,Liste05[ListVerg])</f>
        <v>0</v>
      </c>
      <c r="BN55" s="26">
        <f>SUBTOTAL(109,Liste05[Einzel])</f>
        <v>0</v>
      </c>
      <c r="BO55" s="26">
        <f>SUBTOTAL(109,Liste05[Liste])</f>
        <v>0</v>
      </c>
      <c r="BP55" s="26">
        <f>SUBTOTAL(109,Liste05[Gesamt])</f>
        <v>0</v>
      </c>
      <c r="CE55" s="16">
        <f>SUBTOTAL(109,Liste07[Wahl])</f>
        <v>0</v>
      </c>
      <c r="CF55" s="25"/>
      <c r="CG55" s="29"/>
      <c r="CH55"/>
      <c r="CI55"/>
      <c r="CJ55">
        <f>SUBTOTAL(109,Liste07[GülzST2])</f>
        <v>0</v>
      </c>
      <c r="CK55">
        <f>SUBTOTAL(109,Liste07[ListPot])</f>
        <v>50</v>
      </c>
      <c r="CL55"/>
      <c r="CM55">
        <f>SUBTOTAL(109,Liste07[ListVerg])</f>
        <v>0</v>
      </c>
      <c r="CN55" s="26">
        <f>SUBTOTAL(109,Liste07[Einzel])</f>
        <v>0</v>
      </c>
      <c r="CO55" s="26">
        <f>SUBTOTAL(109,Liste07[Liste])</f>
        <v>0</v>
      </c>
      <c r="CP55" s="26">
        <f>SUBTOTAL(109,Liste07[Gesamt])</f>
        <v>0</v>
      </c>
      <c r="CR55" s="16">
        <f>SUBTOTAL(109,Liste08[Wahl])</f>
        <v>0</v>
      </c>
      <c r="CS55" s="25"/>
      <c r="CT55" s="29"/>
      <c r="CU55"/>
      <c r="CV55"/>
      <c r="CW55">
        <f>SUBTOTAL(109,Liste08[GülzST2])</f>
        <v>0</v>
      </c>
      <c r="CX55">
        <f>SUBTOTAL(109,Liste08[ListPot])</f>
        <v>50</v>
      </c>
      <c r="CY55"/>
      <c r="CZ55">
        <f>SUBTOTAL(109,Liste08[ListVerg])</f>
        <v>0</v>
      </c>
      <c r="DA55" s="26">
        <f>SUBTOTAL(109,Liste08[Einzel])</f>
        <v>0</v>
      </c>
      <c r="DB55" s="26">
        <f>SUBTOTAL(109,Liste08[Liste])</f>
        <v>0</v>
      </c>
      <c r="DC55" s="26">
        <f>SUBTOTAL(109,Liste08[Gesamt])</f>
        <v>0</v>
      </c>
    </row>
    <row r="56" spans="5:107" s="17" customFormat="1" x14ac:dyDescent="0.25">
      <c r="G56" s="31"/>
      <c r="AS56" s="41"/>
      <c r="BC56"/>
      <c r="DC56"/>
    </row>
    <row r="57" spans="5:107" s="17" customFormat="1" x14ac:dyDescent="0.25">
      <c r="G57" s="31"/>
      <c r="AS57" s="41"/>
      <c r="BC57"/>
    </row>
    <row r="58" spans="5:107" s="17" customFormat="1" x14ac:dyDescent="0.25">
      <c r="G58" s="31"/>
      <c r="AS58" s="41"/>
      <c r="BC58"/>
    </row>
    <row r="59" spans="5:107" s="17" customFormat="1" x14ac:dyDescent="0.25">
      <c r="G59" s="31"/>
      <c r="AS59" s="41"/>
      <c r="BC59"/>
    </row>
    <row r="60" spans="5:107" s="17" customFormat="1" x14ac:dyDescent="0.25">
      <c r="G60" s="31"/>
      <c r="AS60" s="41"/>
      <c r="BC60"/>
    </row>
    <row r="61" spans="5:107" s="17" customFormat="1" x14ac:dyDescent="0.25">
      <c r="G61" s="31"/>
      <c r="AS61" s="41"/>
      <c r="BC61"/>
    </row>
    <row r="62" spans="5:107" s="17" customFormat="1" x14ac:dyDescent="0.25">
      <c r="G62" s="31"/>
      <c r="AS62" s="41"/>
      <c r="BC62"/>
    </row>
    <row r="63" spans="5:107" s="17" customFormat="1" x14ac:dyDescent="0.25">
      <c r="G63" s="31"/>
      <c r="AS63" s="41"/>
      <c r="BC63"/>
    </row>
    <row r="64" spans="5:107" s="17" customFormat="1" x14ac:dyDescent="0.25">
      <c r="G64" s="31"/>
      <c r="AS64" s="41"/>
      <c r="BC64"/>
    </row>
    <row r="65" spans="5:107" x14ac:dyDescent="0.25">
      <c r="E65" s="17"/>
      <c r="F65" s="17"/>
      <c r="G65" s="31"/>
      <c r="H65" s="17"/>
      <c r="I65" s="17"/>
      <c r="J65" s="17"/>
      <c r="K65" s="17"/>
      <c r="L65" s="17"/>
      <c r="M65" s="17"/>
      <c r="N65" s="17"/>
      <c r="O65" s="17"/>
      <c r="P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R65" s="17"/>
      <c r="AS65" s="41"/>
      <c r="AT65" s="17"/>
      <c r="AU65" s="17"/>
      <c r="AV65" s="17"/>
      <c r="AW65" s="17"/>
      <c r="AX65" s="17"/>
      <c r="AY65" s="17"/>
      <c r="AZ65" s="17"/>
      <c r="BA65" s="17"/>
      <c r="BB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</row>
    <row r="66" spans="5:107" x14ac:dyDescent="0.25">
      <c r="E66" s="17"/>
      <c r="F66" s="17"/>
      <c r="G66" s="31"/>
      <c r="H66" s="17"/>
      <c r="I66" s="17"/>
      <c r="J66" s="17"/>
      <c r="K66" s="17"/>
      <c r="L66" s="17"/>
      <c r="M66" s="17"/>
      <c r="N66" s="17"/>
      <c r="O66" s="17"/>
      <c r="P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</row>
    <row r="67" spans="5:107" x14ac:dyDescent="0.25">
      <c r="E67" s="17"/>
      <c r="F67" s="17"/>
      <c r="G67" s="31"/>
      <c r="H67" s="17"/>
      <c r="I67" s="17"/>
      <c r="J67" s="17"/>
      <c r="K67" s="17"/>
      <c r="L67" s="17"/>
      <c r="M67" s="17"/>
      <c r="N67" s="17"/>
      <c r="O67" s="17"/>
      <c r="P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</row>
    <row r="68" spans="5:107" x14ac:dyDescent="0.25">
      <c r="E68" s="17"/>
      <c r="F68" s="17"/>
      <c r="G68" s="31"/>
      <c r="H68" s="17"/>
      <c r="I68" s="17"/>
      <c r="J68" s="17"/>
      <c r="K68" s="17"/>
      <c r="L68" s="17"/>
      <c r="M68" s="17"/>
      <c r="N68" s="17"/>
      <c r="O68" s="17"/>
      <c r="P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</row>
    <row r="69" spans="5:107" x14ac:dyDescent="0.25">
      <c r="E69" s="17"/>
      <c r="F69" s="17"/>
      <c r="G69" s="31"/>
      <c r="H69" s="17"/>
      <c r="I69" s="17"/>
      <c r="J69" s="17"/>
      <c r="K69" s="17"/>
      <c r="L69" s="17"/>
      <c r="M69" s="17"/>
      <c r="N69" s="17"/>
      <c r="O69" s="17"/>
      <c r="P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</row>
    <row r="70" spans="5:107" x14ac:dyDescent="0.25">
      <c r="E70" s="17"/>
      <c r="F70" s="17"/>
      <c r="G70" s="31"/>
      <c r="H70" s="17"/>
      <c r="I70" s="17"/>
      <c r="J70" s="17"/>
      <c r="K70" s="17"/>
      <c r="L70" s="17"/>
      <c r="M70" s="17"/>
      <c r="N70" s="17"/>
      <c r="O70" s="17"/>
      <c r="P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</row>
    <row r="71" spans="5:107" x14ac:dyDescent="0.25">
      <c r="E71" s="17"/>
      <c r="F71" s="17"/>
      <c r="G71" s="31"/>
      <c r="H71" s="17"/>
      <c r="I71" s="17"/>
      <c r="J71" s="17"/>
      <c r="K71" s="17"/>
      <c r="L71" s="17"/>
      <c r="M71" s="17"/>
      <c r="N71" s="17"/>
      <c r="O71" s="17"/>
      <c r="P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</row>
    <row r="72" spans="5:107" x14ac:dyDescent="0.25">
      <c r="E72" s="17"/>
      <c r="F72" s="17"/>
      <c r="G72" s="31"/>
      <c r="H72" s="17"/>
      <c r="I72" s="17"/>
      <c r="J72" s="17"/>
      <c r="K72" s="17"/>
      <c r="L72" s="17"/>
      <c r="M72" s="17"/>
      <c r="N72" s="17"/>
      <c r="O72" s="17"/>
      <c r="P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</row>
    <row r="73" spans="5:107" x14ac:dyDescent="0.25">
      <c r="E73" s="17"/>
      <c r="F73" s="17"/>
      <c r="G73" s="31"/>
      <c r="H73" s="17"/>
      <c r="I73" s="17"/>
      <c r="J73" s="17"/>
      <c r="K73" s="17"/>
      <c r="L73" s="17"/>
      <c r="M73" s="17"/>
      <c r="N73" s="17"/>
      <c r="O73" s="17"/>
      <c r="P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</row>
    <row r="74" spans="5:107" x14ac:dyDescent="0.25">
      <c r="E74" s="17"/>
      <c r="F74" s="17"/>
      <c r="G74" s="31"/>
      <c r="H74" s="17"/>
      <c r="I74" s="17"/>
      <c r="J74" s="17"/>
      <c r="K74" s="17"/>
      <c r="L74" s="17"/>
      <c r="M74" s="17"/>
      <c r="N74" s="17"/>
      <c r="O74" s="17"/>
      <c r="P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</row>
    <row r="75" spans="5:107" x14ac:dyDescent="0.25"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</row>
    <row r="76" spans="5:107" x14ac:dyDescent="0.25"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</row>
    <row r="77" spans="5:107" x14ac:dyDescent="0.25"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</row>
    <row r="78" spans="5:107" x14ac:dyDescent="0.25"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</row>
    <row r="79" spans="5:107" x14ac:dyDescent="0.25"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</row>
    <row r="80" spans="5:107" x14ac:dyDescent="0.25"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</row>
    <row r="81" spans="44:55" x14ac:dyDescent="0.25"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</row>
    <row r="82" spans="44:55" x14ac:dyDescent="0.25"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</row>
    <row r="83" spans="44:55" x14ac:dyDescent="0.25"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</row>
    <row r="84" spans="44:55" x14ac:dyDescent="0.25"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</row>
  </sheetData>
  <sheetProtection algorithmName="SHA-512" hashValue="8R6RNtMN6j521vlIg9zwrRfW/xLkM7b+l2Lfg1+MoQmiIPcxWW5k82jI1oBPOtasOalFG0JKA6CJtuazNiq79g==" saltValue="wMdg74cuPviKzG9My/kiDw==" spinCount="100000" sheet="1" objects="1" scenarios="1"/>
  <mergeCells count="20">
    <mergeCell ref="R2:AC2"/>
    <mergeCell ref="S3:AC3"/>
    <mergeCell ref="A1:B2"/>
    <mergeCell ref="A3:B3"/>
    <mergeCell ref="F3:P3"/>
    <mergeCell ref="E2:P2"/>
    <mergeCell ref="AE2:AP2"/>
    <mergeCell ref="AF3:AP3"/>
    <mergeCell ref="AR2:BC2"/>
    <mergeCell ref="AS3:BC3"/>
    <mergeCell ref="BE2:BP2"/>
    <mergeCell ref="BF3:BP3"/>
    <mergeCell ref="DE2:DP2"/>
    <mergeCell ref="DF3:DP3"/>
    <mergeCell ref="BR2:CC2"/>
    <mergeCell ref="BS3:CC3"/>
    <mergeCell ref="CE2:CP2"/>
    <mergeCell ref="CF3:CP3"/>
    <mergeCell ref="CR2:DC2"/>
    <mergeCell ref="CS3:DC3"/>
  </mergeCells>
  <conditionalFormatting sqref="AT56:AT65 BT21:BT43 BT45 CT56 DG5:DG41 DG43:DG45 G5:G54 T7:T54 AG17:AG54 AT5:AT54 BG5:BG54 CG5:CG54 CT5:CT54">
    <cfRule type="expression" dxfId="131" priority="82">
      <formula>H5</formula>
    </cfRule>
  </conditionalFormatting>
  <conditionalFormatting sqref="B15">
    <cfRule type="expression" dxfId="130" priority="76">
      <formula>ISEVEN($F5)</formula>
    </cfRule>
  </conditionalFormatting>
  <conditionalFormatting sqref="AS57:AS65 BS6:BS15 BS26:BS43 DF5:DF41 DF44:DF45 F5:F54 AS5:AS54 BF5:BF54 CF5:CF54 CS5:CS54">
    <cfRule type="expression" dxfId="129" priority="75">
      <formula>(F5=F4)</formula>
    </cfRule>
  </conditionalFormatting>
  <conditionalFormatting sqref="B7">
    <cfRule type="expression" dxfId="128" priority="72">
      <formula>B7</formula>
    </cfRule>
  </conditionalFormatting>
  <conditionalFormatting sqref="B12">
    <cfRule type="expression" dxfId="127" priority="71">
      <formula>B12</formula>
    </cfRule>
  </conditionalFormatting>
  <conditionalFormatting sqref="B14">
    <cfRule type="expression" dxfId="126" priority="62">
      <formula>B14</formula>
    </cfRule>
  </conditionalFormatting>
  <conditionalFormatting sqref="A1:B2">
    <cfRule type="expression" dxfId="125" priority="61">
      <formula>(A1="ungültig")</formula>
    </cfRule>
  </conditionalFormatting>
  <conditionalFormatting sqref="A3:B3">
    <cfRule type="expression" dxfId="124" priority="59">
      <formula>AND($B$13&lt;$B$5,$A$1="gültig")</formula>
    </cfRule>
    <cfRule type="expression" dxfId="123" priority="60">
      <formula>($B$5=$B$13)</formula>
    </cfRule>
  </conditionalFormatting>
  <conditionalFormatting sqref="B10:B11">
    <cfRule type="expression" dxfId="122" priority="58">
      <formula>($B$10&lt;&gt;$B$11)</formula>
    </cfRule>
  </conditionalFormatting>
  <conditionalFormatting sqref="B9">
    <cfRule type="expression" dxfId="121" priority="57">
      <formula>($B$9&gt;0)</formula>
    </cfRule>
  </conditionalFormatting>
  <conditionalFormatting sqref="AG5">
    <cfRule type="expression" dxfId="120" priority="54">
      <formula>AH5</formula>
    </cfRule>
  </conditionalFormatting>
  <conditionalFormatting sqref="AF5 AF7 AF9 AF11 AF13 AF15 AF17 AF19 AF21 AF23 AF25 AF27 AF29 AF31 AF33 AF35 AF37 AF39 AF41 AF43 AF45 AF47 AF49 AF51 AF53">
    <cfRule type="expression" dxfId="119" priority="53">
      <formula>(AF5=AF4)</formula>
    </cfRule>
  </conditionalFormatting>
  <conditionalFormatting sqref="AG15:AG16">
    <cfRule type="expression" dxfId="118" priority="20">
      <formula>AH15</formula>
    </cfRule>
  </conditionalFormatting>
  <conditionalFormatting sqref="T5">
    <cfRule type="expression" dxfId="117" priority="38">
      <formula>U5</formula>
    </cfRule>
  </conditionalFormatting>
  <conditionalFormatting sqref="S5 S7 S9 S11 S13 S15 S17 S19 S21 S23 S25 S27 S29 S31 S33 S35 S37 S39 S41 S43 S45 S47 S49 S51 S53">
    <cfRule type="expression" dxfId="116" priority="37">
      <formula>(S5=S4)</formula>
    </cfRule>
  </conditionalFormatting>
  <conditionalFormatting sqref="AF6 AF8 AF10 AF12 AF14 AF16 AF18 AF20 AF22 AF24 AF26 AF28 AF30 AF32 AF34 AF36 AF38 AF40 AF42 AF44 AF46 AF48 AF50 AF52 AF54">
    <cfRule type="expression" dxfId="115" priority="9">
      <formula>(AF6=AF5)</formula>
    </cfRule>
  </conditionalFormatting>
  <conditionalFormatting sqref="AG13:AG14">
    <cfRule type="expression" dxfId="114" priority="18">
      <formula>AH13</formula>
    </cfRule>
  </conditionalFormatting>
  <conditionalFormatting sqref="AG11:AG12">
    <cfRule type="expression" dxfId="113" priority="16">
      <formula>AH11</formula>
    </cfRule>
  </conditionalFormatting>
  <conditionalFormatting sqref="AG9:AG10">
    <cfRule type="expression" dxfId="112" priority="14">
      <formula>AH9</formula>
    </cfRule>
  </conditionalFormatting>
  <conditionalFormatting sqref="AG7:AG8">
    <cfRule type="expression" dxfId="111" priority="12">
      <formula>AH7</formula>
    </cfRule>
  </conditionalFormatting>
  <conditionalFormatting sqref="AG6">
    <cfRule type="expression" dxfId="110" priority="10">
      <formula>AH6</formula>
    </cfRule>
  </conditionalFormatting>
  <conditionalFormatting sqref="AS56">
    <cfRule type="expression" dxfId="109" priority="86">
      <formula>(AS56=AS54)</formula>
    </cfRule>
  </conditionalFormatting>
  <conditionalFormatting sqref="BT5:BT17">
    <cfRule type="expression" dxfId="108" priority="88">
      <formula>BU8</formula>
    </cfRule>
  </conditionalFormatting>
  <conditionalFormatting sqref="BS5">
    <cfRule type="expression" dxfId="107" priority="92">
      <formula>(BS5=#REF!)</formula>
    </cfRule>
  </conditionalFormatting>
  <conditionalFormatting sqref="BS45">
    <cfRule type="expression" dxfId="106" priority="97">
      <formula>(BS45=BS43)</formula>
    </cfRule>
  </conditionalFormatting>
  <conditionalFormatting sqref="BS16:BS25">
    <cfRule type="expression" dxfId="105" priority="8">
      <formula>(BS16=BS15)</formula>
    </cfRule>
  </conditionalFormatting>
  <conditionalFormatting sqref="CS56">
    <cfRule type="expression" dxfId="104" priority="101">
      <formula>(CS56=CS54)</formula>
    </cfRule>
  </conditionalFormatting>
  <conditionalFormatting sqref="DF43">
    <cfRule type="expression" dxfId="103" priority="105">
      <formula>(DF43=DF41)</formula>
    </cfRule>
  </conditionalFormatting>
  <conditionalFormatting sqref="B35">
    <cfRule type="expression" dxfId="102" priority="7">
      <formula>B35</formula>
    </cfRule>
  </conditionalFormatting>
  <conditionalFormatting sqref="B40">
    <cfRule type="expression" dxfId="101" priority="6">
      <formula>B40</formula>
    </cfRule>
  </conditionalFormatting>
  <conditionalFormatting sqref="B42">
    <cfRule type="expression" dxfId="100" priority="5">
      <formula>B42</formula>
    </cfRule>
  </conditionalFormatting>
  <conditionalFormatting sqref="B38:B39">
    <cfRule type="expression" dxfId="99" priority="4">
      <formula>($B$10&lt;&gt;$B$11)</formula>
    </cfRule>
  </conditionalFormatting>
  <conditionalFormatting sqref="B37">
    <cfRule type="expression" dxfId="98" priority="3">
      <formula>($B$9&gt;0)</formula>
    </cfRule>
  </conditionalFormatting>
  <conditionalFormatting sqref="T6">
    <cfRule type="expression" dxfId="97" priority="2">
      <formula>U6</formula>
    </cfRule>
  </conditionalFormatting>
  <conditionalFormatting sqref="S6 S8 S10 S12 S14 S16 S18 S20 S22 S24 S26 S28 S30 S32 S34 S36 S38 S40 S42 S44 S46 S48 S50 S52 S54">
    <cfRule type="expression" dxfId="96" priority="1">
      <formula>(S6=S5)</formula>
    </cfRule>
  </conditionalFormatting>
  <dataValidations count="2">
    <dataValidation type="whole" operator="greaterThanOrEqual" allowBlank="1" showInputMessage="1" showErrorMessage="1" sqref="DE5:DE41 AR56:AR65 BR45 BR5:BR43 CR56 DE43:DE45 E5:E54 R5:R54 AE5:AE54 AR5:AR54 BE5:BE54 CE5:CE54 CR5:CR54">
      <formula1>0</formula1>
    </dataValidation>
    <dataValidation type="list" allowBlank="1" showInputMessage="1" showErrorMessage="1" sqref="E3 DE3 AE3 R3 BE3 AR3 BR3 CE3 CR3">
      <formula1>"X, "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10" sqref="D10"/>
    </sheetView>
  </sheetViews>
  <sheetFormatPr baseColWidth="10" defaultRowHeight="15" x14ac:dyDescent="0.25"/>
  <cols>
    <col min="1" max="1" width="20.42578125" customWidth="1"/>
    <col min="2" max="2" width="10" customWidth="1"/>
    <col min="4" max="4" width="16.42578125" customWidth="1"/>
    <col min="6" max="6" width="14.28515625" customWidth="1"/>
  </cols>
  <sheetData>
    <row r="1" spans="1:6" x14ac:dyDescent="0.25">
      <c r="A1" t="s">
        <v>7</v>
      </c>
      <c r="B1" t="s">
        <v>8</v>
      </c>
    </row>
    <row r="2" spans="1:6" x14ac:dyDescent="0.25">
      <c r="A2" t="s">
        <v>9</v>
      </c>
      <c r="B2">
        <v>40</v>
      </c>
    </row>
    <row r="3" spans="1:6" x14ac:dyDescent="0.25">
      <c r="A3" t="s">
        <v>10</v>
      </c>
      <c r="B3">
        <v>7</v>
      </c>
    </row>
    <row r="4" spans="1:6" x14ac:dyDescent="0.25">
      <c r="F4" t="s">
        <v>11</v>
      </c>
    </row>
    <row r="5" spans="1:6" ht="15.75" x14ac:dyDescent="0.25">
      <c r="F5" s="7">
        <v>0</v>
      </c>
    </row>
    <row r="6" spans="1:6" ht="15.75" x14ac:dyDescent="0.25">
      <c r="D6" s="8">
        <v>0</v>
      </c>
      <c r="F6" s="7">
        <v>1</v>
      </c>
    </row>
    <row r="7" spans="1:6" ht="15.75" x14ac:dyDescent="0.25">
      <c r="F7" s="7">
        <v>2</v>
      </c>
    </row>
    <row r="8" spans="1:6" ht="15.75" x14ac:dyDescent="0.25">
      <c r="F8" s="7">
        <v>3</v>
      </c>
    </row>
    <row r="9" spans="1:6" ht="15.75" x14ac:dyDescent="0.25">
      <c r="F9" s="7">
        <v>4</v>
      </c>
    </row>
    <row r="10" spans="1:6" ht="15.75" x14ac:dyDescent="0.25">
      <c r="F10" s="7">
        <v>5</v>
      </c>
    </row>
    <row r="11" spans="1:6" ht="15.75" x14ac:dyDescent="0.25">
      <c r="F11" s="7">
        <v>6</v>
      </c>
    </row>
    <row r="12" spans="1:6" ht="15.75" x14ac:dyDescent="0.25">
      <c r="F12" s="7">
        <v>7</v>
      </c>
    </row>
    <row r="13" spans="1:6" ht="15.75" x14ac:dyDescent="0.25">
      <c r="F13" s="7">
        <v>8</v>
      </c>
    </row>
    <row r="14" spans="1:6" ht="15.75" x14ac:dyDescent="0.25">
      <c r="F14" s="7">
        <v>9</v>
      </c>
    </row>
    <row r="15" spans="1:6" ht="15.75" x14ac:dyDescent="0.25">
      <c r="F15" s="7">
        <v>10</v>
      </c>
    </row>
    <row r="16" spans="1:6" ht="15.75" x14ac:dyDescent="0.25">
      <c r="F16" s="7">
        <v>11</v>
      </c>
    </row>
    <row r="17" spans="6:6" ht="15.75" x14ac:dyDescent="0.25">
      <c r="F17" s="7">
        <v>12</v>
      </c>
    </row>
    <row r="18" spans="6:6" ht="15.75" x14ac:dyDescent="0.25">
      <c r="F18" s="7">
        <v>13</v>
      </c>
    </row>
    <row r="19" spans="6:6" ht="15.75" x14ac:dyDescent="0.25">
      <c r="F19" s="7">
        <v>14</v>
      </c>
    </row>
    <row r="20" spans="6:6" ht="15.75" x14ac:dyDescent="0.25">
      <c r="F20" s="7">
        <v>15</v>
      </c>
    </row>
    <row r="21" spans="6:6" ht="15.75" x14ac:dyDescent="0.25">
      <c r="F21" s="7">
        <v>16</v>
      </c>
    </row>
    <row r="22" spans="6:6" ht="15.75" x14ac:dyDescent="0.25">
      <c r="F22" s="7">
        <v>17</v>
      </c>
    </row>
    <row r="23" spans="6:6" ht="15.75" x14ac:dyDescent="0.25">
      <c r="F23" s="7">
        <v>18</v>
      </c>
    </row>
    <row r="24" spans="6:6" ht="15.75" x14ac:dyDescent="0.25">
      <c r="F24" s="7">
        <v>19</v>
      </c>
    </row>
    <row r="25" spans="6:6" ht="15.75" x14ac:dyDescent="0.25">
      <c r="F25" s="7">
        <v>20</v>
      </c>
    </row>
    <row r="26" spans="6:6" ht="15.75" x14ac:dyDescent="0.25">
      <c r="F26" s="7">
        <v>21</v>
      </c>
    </row>
    <row r="27" spans="6:6" ht="15.75" x14ac:dyDescent="0.25">
      <c r="F27" s="7">
        <v>22</v>
      </c>
    </row>
    <row r="28" spans="6:6" ht="15.75" x14ac:dyDescent="0.25">
      <c r="F28" s="7">
        <v>23</v>
      </c>
    </row>
    <row r="29" spans="6:6" ht="15.75" x14ac:dyDescent="0.25">
      <c r="F29" s="7">
        <v>24</v>
      </c>
    </row>
    <row r="30" spans="6:6" ht="15.75" x14ac:dyDescent="0.25">
      <c r="F30" s="7">
        <v>25</v>
      </c>
    </row>
    <row r="31" spans="6:6" ht="15.75" x14ac:dyDescent="0.25">
      <c r="F31" s="7">
        <v>26</v>
      </c>
    </row>
    <row r="32" spans="6:6" ht="15.75" x14ac:dyDescent="0.25">
      <c r="F32" s="7">
        <v>27</v>
      </c>
    </row>
    <row r="33" spans="6:6" ht="15.75" x14ac:dyDescent="0.25">
      <c r="F33" s="7">
        <v>28</v>
      </c>
    </row>
    <row r="34" spans="6:6" ht="15.75" x14ac:dyDescent="0.25">
      <c r="F34" s="7">
        <v>29</v>
      </c>
    </row>
    <row r="35" spans="6:6" ht="15.75" x14ac:dyDescent="0.25">
      <c r="F35" s="7">
        <v>30</v>
      </c>
    </row>
    <row r="36" spans="6:6" ht="15.75" x14ac:dyDescent="0.25">
      <c r="F36" s="7">
        <v>31</v>
      </c>
    </row>
    <row r="37" spans="6:6" ht="15.75" x14ac:dyDescent="0.25">
      <c r="F37" s="7">
        <v>32</v>
      </c>
    </row>
    <row r="38" spans="6:6" ht="15.75" x14ac:dyDescent="0.25">
      <c r="F38" s="7">
        <v>33</v>
      </c>
    </row>
    <row r="39" spans="6:6" ht="15.75" x14ac:dyDescent="0.25">
      <c r="F39" s="7">
        <v>34</v>
      </c>
    </row>
    <row r="40" spans="6:6" ht="15.75" x14ac:dyDescent="0.25">
      <c r="F40" s="7">
        <v>35</v>
      </c>
    </row>
    <row r="41" spans="6:6" ht="15.75" x14ac:dyDescent="0.25">
      <c r="F41" s="7">
        <v>36</v>
      </c>
    </row>
    <row r="42" spans="6:6" ht="15.75" x14ac:dyDescent="0.25">
      <c r="F42" s="7">
        <v>37</v>
      </c>
    </row>
    <row r="43" spans="6:6" ht="15.75" x14ac:dyDescent="0.25">
      <c r="F43" s="7">
        <v>38</v>
      </c>
    </row>
    <row r="44" spans="6:6" ht="15.75" x14ac:dyDescent="0.25">
      <c r="F44" s="7">
        <v>39</v>
      </c>
    </row>
  </sheetData>
  <dataValidations count="3">
    <dataValidation type="whole" allowBlank="1" showInputMessage="1" showErrorMessage="1" sqref="I7">
      <formula1>0</formula1>
      <formula2>B3</formula2>
    </dataValidation>
    <dataValidation type="list" allowBlank="1" showInputMessage="1" showErrorMessage="1" sqref="G7">
      <formula1>INDIRECT("{SEQUENZ(10)}")</formula1>
    </dataValidation>
    <dataValidation type="list" allowBlank="1" showInputMessage="1" showErrorMessage="1" sqref="D6">
      <formula1>OFFSET($F$5:$F$44,0,0,B3,1)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8"/>
  <sheetViews>
    <sheetView topLeftCell="B191" zoomScaleNormal="100" workbookViewId="0">
      <selection activeCell="D218" sqref="D218:E218"/>
    </sheetView>
  </sheetViews>
  <sheetFormatPr baseColWidth="10" defaultRowHeight="15" x14ac:dyDescent="0.25"/>
  <cols>
    <col min="2" max="2" width="97.42578125" bestFit="1" customWidth="1"/>
    <col min="3" max="3" width="8.42578125" bestFit="1" customWidth="1"/>
    <col min="4" max="4" width="5.140625" bestFit="1" customWidth="1"/>
    <col min="5" max="5" width="89.42578125" bestFit="1" customWidth="1"/>
    <col min="7" max="7" width="7.7109375" bestFit="1" customWidth="1"/>
    <col min="8" max="8" width="7.7109375" customWidth="1"/>
  </cols>
  <sheetData>
    <row r="2" spans="2:11" x14ac:dyDescent="0.25">
      <c r="B2" t="s">
        <v>43</v>
      </c>
      <c r="C2" t="s">
        <v>44</v>
      </c>
      <c r="D2" t="s">
        <v>42</v>
      </c>
      <c r="E2" t="s">
        <v>45</v>
      </c>
      <c r="F2" t="s">
        <v>46</v>
      </c>
      <c r="G2" t="s">
        <v>47</v>
      </c>
      <c r="H2" t="s">
        <v>27</v>
      </c>
      <c r="I2" t="s">
        <v>18</v>
      </c>
      <c r="J2" t="s">
        <v>0</v>
      </c>
      <c r="K2" t="s">
        <v>250</v>
      </c>
    </row>
    <row r="3" spans="2:11" x14ac:dyDescent="0.25">
      <c r="B3" t="s">
        <v>137</v>
      </c>
      <c r="C3">
        <f>LEN(Tab_Kandidaten[[#This Row],[Zeitungstext]])</f>
        <v>48</v>
      </c>
      <c r="D3">
        <f>VALUE(MID(Tab_Kandidaten[[#This Row],[Zeitungstext]],1,3))</f>
        <v>101</v>
      </c>
      <c r="E3" s="27" t="str">
        <f>MID(Tab_Kandidaten[[#This Row],[Zeitungstext]],5,Tab_Kandidaten[[#This Row],[Länge]]-9)</f>
        <v>Dr. Fichtner, Harald, Oberbürgermeister</v>
      </c>
      <c r="F3" s="27">
        <f>VALUE(MID(Tab_Kandidaten[[#This Row],[Zeitungstext]],Tab_Kandidaten[[#This Row],[Länge]]-3,4))</f>
        <v>1965</v>
      </c>
      <c r="G3" s="27">
        <f>2020-Tab_Kandidaten[[#This Row],[GebJahr]]</f>
        <v>55</v>
      </c>
      <c r="H3" s="27">
        <f>ROUND(Tab_Kandidaten[[#This Row],[Alter]],-1)</f>
        <v>60</v>
      </c>
      <c r="I3" s="27">
        <f>QUOTIENT(Tab_Kandidaten[[#This Row],[ID]],100)</f>
        <v>1</v>
      </c>
      <c r="J3" s="27">
        <f>MOD(Tab_Kandidaten[[#This Row],[ID]],100)</f>
        <v>1</v>
      </c>
      <c r="K3" s="27">
        <f>Tab_Kandidaten[[#This Row],[Länge]]-LEN(SUBSTITUTE(Tab_Kandidaten[[#This Row],[Zeitungstext]],",",""))</f>
        <v>2</v>
      </c>
    </row>
    <row r="4" spans="2:11" x14ac:dyDescent="0.25">
      <c r="B4" t="s">
        <v>138</v>
      </c>
      <c r="C4">
        <f>LEN(Tab_Kandidaten[[#This Row],[Zeitungstext]])</f>
        <v>55</v>
      </c>
      <c r="D4">
        <f>VALUE(MID(Tab_Kandidaten[[#This Row],[Zeitungstext]],1,3))</f>
        <v>102</v>
      </c>
      <c r="E4" s="27" t="str">
        <f>MID(Tab_Kandidaten[[#This Row],[Zeitungstext]],5,Tab_Kandidaten[[#This Row],[Länge]]-9)</f>
        <v>Fleischer, Wolfgang, Vertriebsleiter, Stadtrat</v>
      </c>
      <c r="F4" s="27">
        <f>VALUE(MID(Tab_Kandidaten[[#This Row],[Zeitungstext]],Tab_Kandidaten[[#This Row],[Länge]]-3,4))</f>
        <v>1965</v>
      </c>
      <c r="G4" s="27">
        <f>2020-Tab_Kandidaten[[#This Row],[GebJahr]]</f>
        <v>55</v>
      </c>
      <c r="H4" s="27">
        <f>ROUND(Tab_Kandidaten[[#This Row],[Alter]],-1)</f>
        <v>60</v>
      </c>
      <c r="I4" s="27">
        <f>QUOTIENT(Tab_Kandidaten[[#This Row],[ID]],100)</f>
        <v>1</v>
      </c>
      <c r="J4" s="27">
        <f>MOD(Tab_Kandidaten[[#This Row],[ID]],100)</f>
        <v>2</v>
      </c>
      <c r="K4" s="27">
        <f>Tab_Kandidaten[[#This Row],[Länge]]-LEN(SUBSTITUTE(Tab_Kandidaten[[#This Row],[Zeitungstext]],",",""))</f>
        <v>3</v>
      </c>
    </row>
    <row r="5" spans="2:11" x14ac:dyDescent="0.25">
      <c r="B5" t="s">
        <v>139</v>
      </c>
      <c r="C5">
        <f>LEN(Tab_Kandidaten[[#This Row],[Zeitungstext]])</f>
        <v>50</v>
      </c>
      <c r="D5">
        <f>VALUE(MID(Tab_Kandidaten[[#This Row],[Zeitungstext]],1,3))</f>
        <v>103</v>
      </c>
      <c r="E5" s="27" t="str">
        <f>MID(Tab_Kandidaten[[#This Row],[Zeitungstext]],5,Tab_Kandidaten[[#This Row],[Länge]]-9)</f>
        <v>Bier, Angela, Bankprokuristin, Stadträtin</v>
      </c>
      <c r="F5" s="27">
        <f>VALUE(MID(Tab_Kandidaten[[#This Row],[Zeitungstext]],Tab_Kandidaten[[#This Row],[Länge]]-3,4))</f>
        <v>1960</v>
      </c>
      <c r="G5" s="27">
        <f>2020-Tab_Kandidaten[[#This Row],[GebJahr]]</f>
        <v>60</v>
      </c>
      <c r="H5" s="27">
        <f>ROUND(Tab_Kandidaten[[#This Row],[Alter]],-1)</f>
        <v>60</v>
      </c>
      <c r="I5" s="27">
        <f>QUOTIENT(Tab_Kandidaten[[#This Row],[ID]],100)</f>
        <v>1</v>
      </c>
      <c r="J5" s="27">
        <f>MOD(Tab_Kandidaten[[#This Row],[ID]],100)</f>
        <v>3</v>
      </c>
      <c r="K5" s="27">
        <f>Tab_Kandidaten[[#This Row],[Länge]]-LEN(SUBSTITUTE(Tab_Kandidaten[[#This Row],[Zeitungstext]],",",""))</f>
        <v>3</v>
      </c>
    </row>
    <row r="6" spans="2:11" x14ac:dyDescent="0.25">
      <c r="B6" t="s">
        <v>140</v>
      </c>
      <c r="C6">
        <f>LEN(Tab_Kandidaten[[#This Row],[Zeitungstext]])</f>
        <v>50</v>
      </c>
      <c r="D6">
        <f>VALUE(MID(Tab_Kandidaten[[#This Row],[Zeitungstext]],1,3))</f>
        <v>104</v>
      </c>
      <c r="E6" s="27" t="str">
        <f>MID(Tab_Kandidaten[[#This Row],[Zeitungstext]],5,Tab_Kandidaten[[#This Row],[Länge]]-9)</f>
        <v>Schrader, Ingrid, Intendantin, Stadträtin</v>
      </c>
      <c r="F6" s="27">
        <f>VALUE(MID(Tab_Kandidaten[[#This Row],[Zeitungstext]],Tab_Kandidaten[[#This Row],[Länge]]-3,4))</f>
        <v>1960</v>
      </c>
      <c r="G6" s="27">
        <f>2020-Tab_Kandidaten[[#This Row],[GebJahr]]</f>
        <v>60</v>
      </c>
      <c r="H6" s="27">
        <f>ROUND(Tab_Kandidaten[[#This Row],[Alter]],-1)</f>
        <v>60</v>
      </c>
      <c r="I6" s="27">
        <f>QUOTIENT(Tab_Kandidaten[[#This Row],[ID]],100)</f>
        <v>1</v>
      </c>
      <c r="J6" s="27">
        <f>MOD(Tab_Kandidaten[[#This Row],[ID]],100)</f>
        <v>4</v>
      </c>
      <c r="K6" s="27">
        <f>Tab_Kandidaten[[#This Row],[Länge]]-LEN(SUBSTITUTE(Tab_Kandidaten[[#This Row],[Zeitungstext]],",",""))</f>
        <v>3</v>
      </c>
    </row>
    <row r="7" spans="2:11" x14ac:dyDescent="0.25">
      <c r="B7" t="s">
        <v>141</v>
      </c>
      <c r="C7">
        <f>LEN(Tab_Kandidaten[[#This Row],[Zeitungstext]])</f>
        <v>53</v>
      </c>
      <c r="D7">
        <f>VALUE(MID(Tab_Kandidaten[[#This Row],[Zeitungstext]],1,3))</f>
        <v>105</v>
      </c>
      <c r="E7" s="27" t="str">
        <f>MID(Tab_Kandidaten[[#This Row],[Zeitungstext]],5,Tab_Kandidaten[[#This Row],[Länge]]-9)</f>
        <v>Herpich, Christian, Metzgermeister, Stadtrat</v>
      </c>
      <c r="F7" s="27">
        <f>VALUE(MID(Tab_Kandidaten[[#This Row],[Zeitungstext]],Tab_Kandidaten[[#This Row],[Länge]]-3,4))</f>
        <v>1968</v>
      </c>
      <c r="G7" s="27">
        <f>2020-Tab_Kandidaten[[#This Row],[GebJahr]]</f>
        <v>52</v>
      </c>
      <c r="H7" s="27">
        <f>ROUND(Tab_Kandidaten[[#This Row],[Alter]],-1)</f>
        <v>50</v>
      </c>
      <c r="I7" s="27">
        <f>QUOTIENT(Tab_Kandidaten[[#This Row],[ID]],100)</f>
        <v>1</v>
      </c>
      <c r="J7" s="27">
        <f>MOD(Tab_Kandidaten[[#This Row],[ID]],100)</f>
        <v>5</v>
      </c>
      <c r="K7" s="27">
        <f>Tab_Kandidaten[[#This Row],[Länge]]-LEN(SUBSTITUTE(Tab_Kandidaten[[#This Row],[Zeitungstext]],",",""))</f>
        <v>3</v>
      </c>
    </row>
    <row r="8" spans="2:11" x14ac:dyDescent="0.25">
      <c r="B8" t="s">
        <v>142</v>
      </c>
      <c r="C8">
        <f>LEN(Tab_Kandidaten[[#This Row],[Zeitungstext]])</f>
        <v>49</v>
      </c>
      <c r="D8">
        <f>VALUE(MID(Tab_Kandidaten[[#This Row],[Zeitungstext]],1,3))</f>
        <v>106</v>
      </c>
      <c r="E8" s="27" t="str">
        <f>MID(Tab_Kandidaten[[#This Row],[Zeitungstext]],5,Tab_Kandidaten[[#This Row],[Länge]]-9)</f>
        <v>Ulshöfer, Jochen, Rechtsanwalt, Stadtrat</v>
      </c>
      <c r="F8" s="27">
        <f>VALUE(MID(Tab_Kandidaten[[#This Row],[Zeitungstext]],Tab_Kandidaten[[#This Row],[Länge]]-3,4))</f>
        <v>1974</v>
      </c>
      <c r="G8" s="27">
        <f>2020-Tab_Kandidaten[[#This Row],[GebJahr]]</f>
        <v>46</v>
      </c>
      <c r="H8" s="27">
        <f>ROUND(Tab_Kandidaten[[#This Row],[Alter]],-1)</f>
        <v>50</v>
      </c>
      <c r="I8" s="27">
        <f>QUOTIENT(Tab_Kandidaten[[#This Row],[ID]],100)</f>
        <v>1</v>
      </c>
      <c r="J8" s="27">
        <f>MOD(Tab_Kandidaten[[#This Row],[ID]],100)</f>
        <v>6</v>
      </c>
      <c r="K8" s="27">
        <f>Tab_Kandidaten[[#This Row],[Länge]]-LEN(SUBSTITUTE(Tab_Kandidaten[[#This Row],[Zeitungstext]],",",""))</f>
        <v>3</v>
      </c>
    </row>
    <row r="9" spans="2:11" x14ac:dyDescent="0.25">
      <c r="B9" t="s">
        <v>143</v>
      </c>
      <c r="C9">
        <f>LEN(Tab_Kandidaten[[#This Row],[Zeitungstext]])</f>
        <v>58</v>
      </c>
      <c r="D9">
        <f>VALUE(MID(Tab_Kandidaten[[#This Row],[Zeitungstext]],1,3))</f>
        <v>107</v>
      </c>
      <c r="E9" s="27" t="str">
        <f>MID(Tab_Kandidaten[[#This Row],[Zeitungstext]],5,Tab_Kandidaten[[#This Row],[Länge]]-9)</f>
        <v>Lockenvitz, Felix, Wirtschaftsingenieur, Stadtrat</v>
      </c>
      <c r="F9" s="27">
        <f>VALUE(MID(Tab_Kandidaten[[#This Row],[Zeitungstext]],Tab_Kandidaten[[#This Row],[Länge]]-3,4))</f>
        <v>1994</v>
      </c>
      <c r="G9" s="27">
        <f>2020-Tab_Kandidaten[[#This Row],[GebJahr]]</f>
        <v>26</v>
      </c>
      <c r="H9" s="27">
        <f>ROUND(Tab_Kandidaten[[#This Row],[Alter]],-1)</f>
        <v>30</v>
      </c>
      <c r="I9" s="27">
        <f>QUOTIENT(Tab_Kandidaten[[#This Row],[ID]],100)</f>
        <v>1</v>
      </c>
      <c r="J9" s="27">
        <f>MOD(Tab_Kandidaten[[#This Row],[ID]],100)</f>
        <v>7</v>
      </c>
      <c r="K9" s="27">
        <f>Tab_Kandidaten[[#This Row],[Länge]]-LEN(SUBSTITUTE(Tab_Kandidaten[[#This Row],[Zeitungstext]],",",""))</f>
        <v>3</v>
      </c>
    </row>
    <row r="10" spans="2:11" x14ac:dyDescent="0.25">
      <c r="B10" t="s">
        <v>144</v>
      </c>
      <c r="C10">
        <f>LEN(Tab_Kandidaten[[#This Row],[Zeitungstext]])</f>
        <v>53</v>
      </c>
      <c r="D10">
        <f>VALUE(MID(Tab_Kandidaten[[#This Row],[Zeitungstext]],1,3))</f>
        <v>108</v>
      </c>
      <c r="E10" s="27" t="str">
        <f>MID(Tab_Kandidaten[[#This Row],[Zeitungstext]],5,Tab_Kandidaten[[#This Row],[Länge]]-9)</f>
        <v>Zeh, Dominik, Dipl.-Fitness Ökonom, Stadtrat</v>
      </c>
      <c r="F10" s="27">
        <f>VALUE(MID(Tab_Kandidaten[[#This Row],[Zeitungstext]],Tab_Kandidaten[[#This Row],[Länge]]-3,4))</f>
        <v>1977</v>
      </c>
      <c r="G10" s="27">
        <f>2020-Tab_Kandidaten[[#This Row],[GebJahr]]</f>
        <v>43</v>
      </c>
      <c r="H10" s="27">
        <f>ROUND(Tab_Kandidaten[[#This Row],[Alter]],-1)</f>
        <v>40</v>
      </c>
      <c r="I10" s="27">
        <f>QUOTIENT(Tab_Kandidaten[[#This Row],[ID]],100)</f>
        <v>1</v>
      </c>
      <c r="J10" s="27">
        <f>MOD(Tab_Kandidaten[[#This Row],[ID]],100)</f>
        <v>8</v>
      </c>
      <c r="K10" s="27">
        <f>Tab_Kandidaten[[#This Row],[Länge]]-LEN(SUBSTITUTE(Tab_Kandidaten[[#This Row],[Zeitungstext]],",",""))</f>
        <v>3</v>
      </c>
    </row>
    <row r="11" spans="2:11" x14ac:dyDescent="0.25">
      <c r="B11" t="s">
        <v>145</v>
      </c>
      <c r="C11">
        <f>LEN(Tab_Kandidaten[[#This Row],[Zeitungstext]])</f>
        <v>33</v>
      </c>
      <c r="D11">
        <f>VALUE(MID(Tab_Kandidaten[[#This Row],[Zeitungstext]],1,3))</f>
        <v>109</v>
      </c>
      <c r="E11" s="27" t="str">
        <f>MID(Tab_Kandidaten[[#This Row],[Zeitungstext]],5,Tab_Kandidaten[[#This Row],[Länge]]-9)</f>
        <v>Steiner, Andrea, Beamtin</v>
      </c>
      <c r="F11" s="27">
        <f>VALUE(MID(Tab_Kandidaten[[#This Row],[Zeitungstext]],Tab_Kandidaten[[#This Row],[Länge]]-3,4))</f>
        <v>1969</v>
      </c>
      <c r="G11" s="27">
        <f>2020-Tab_Kandidaten[[#This Row],[GebJahr]]</f>
        <v>51</v>
      </c>
      <c r="H11" s="27">
        <f>ROUND(Tab_Kandidaten[[#This Row],[Alter]],-1)</f>
        <v>50</v>
      </c>
      <c r="I11" s="27">
        <f>QUOTIENT(Tab_Kandidaten[[#This Row],[ID]],100)</f>
        <v>1</v>
      </c>
      <c r="J11" s="27">
        <f>MOD(Tab_Kandidaten[[#This Row],[ID]],100)</f>
        <v>9</v>
      </c>
      <c r="K11" s="27">
        <f>Tab_Kandidaten[[#This Row],[Länge]]-LEN(SUBSTITUTE(Tab_Kandidaten[[#This Row],[Zeitungstext]],",",""))</f>
        <v>2</v>
      </c>
    </row>
    <row r="12" spans="2:11" x14ac:dyDescent="0.25">
      <c r="B12" t="s">
        <v>146</v>
      </c>
      <c r="C12">
        <f>LEN(Tab_Kandidaten[[#This Row],[Zeitungstext]])</f>
        <v>52</v>
      </c>
      <c r="D12">
        <f>VALUE(MID(Tab_Kandidaten[[#This Row],[Zeitungstext]],1,3))</f>
        <v>110</v>
      </c>
      <c r="E12" s="27" t="str">
        <f>MID(Tab_Kandidaten[[#This Row],[Zeitungstext]],5,Tab_Kandidaten[[#This Row],[Länge]]-9)</f>
        <v>Mergner, Matthias, Polizeibeamter, Stadtrat</v>
      </c>
      <c r="F12" s="27">
        <f>VALUE(MID(Tab_Kandidaten[[#This Row],[Zeitungstext]],Tab_Kandidaten[[#This Row],[Länge]]-3,4))</f>
        <v>1979</v>
      </c>
      <c r="G12" s="27">
        <f>2020-Tab_Kandidaten[[#This Row],[GebJahr]]</f>
        <v>41</v>
      </c>
      <c r="H12" s="27">
        <f>ROUND(Tab_Kandidaten[[#This Row],[Alter]],-1)</f>
        <v>40</v>
      </c>
      <c r="I12" s="27">
        <f>QUOTIENT(Tab_Kandidaten[[#This Row],[ID]],100)</f>
        <v>1</v>
      </c>
      <c r="J12" s="27">
        <f>MOD(Tab_Kandidaten[[#This Row],[ID]],100)</f>
        <v>10</v>
      </c>
      <c r="K12" s="27">
        <f>Tab_Kandidaten[[#This Row],[Länge]]-LEN(SUBSTITUTE(Tab_Kandidaten[[#This Row],[Zeitungstext]],",",""))</f>
        <v>3</v>
      </c>
    </row>
    <row r="13" spans="2:11" x14ac:dyDescent="0.25">
      <c r="B13" t="s">
        <v>147</v>
      </c>
      <c r="C13">
        <f>LEN(Tab_Kandidaten[[#This Row],[Zeitungstext]])</f>
        <v>62</v>
      </c>
      <c r="D13">
        <f>VALUE(MID(Tab_Kandidaten[[#This Row],[Zeitungstext]],1,3))</f>
        <v>111</v>
      </c>
      <c r="E13" s="27" t="str">
        <f>MID(Tab_Kandidaten[[#This Row],[Zeitungstext]],5,Tab_Kandidaten[[#This Row],[Länge]]-9)</f>
        <v>Bogler, Hilmar, Polizeibeamter i.R., Ortsteilsprecher</v>
      </c>
      <c r="F13" s="27">
        <f>VALUE(MID(Tab_Kandidaten[[#This Row],[Zeitungstext]],Tab_Kandidaten[[#This Row],[Länge]]-3,4))</f>
        <v>1955</v>
      </c>
      <c r="G13" s="27">
        <f>2020-Tab_Kandidaten[[#This Row],[GebJahr]]</f>
        <v>65</v>
      </c>
      <c r="H13" s="27">
        <f>ROUND(Tab_Kandidaten[[#This Row],[Alter]],-1)</f>
        <v>70</v>
      </c>
      <c r="I13" s="27">
        <f>QUOTIENT(Tab_Kandidaten[[#This Row],[ID]],100)</f>
        <v>1</v>
      </c>
      <c r="J13" s="27">
        <f>MOD(Tab_Kandidaten[[#This Row],[ID]],100)</f>
        <v>11</v>
      </c>
      <c r="K13" s="27">
        <f>Tab_Kandidaten[[#This Row],[Länge]]-LEN(SUBSTITUTE(Tab_Kandidaten[[#This Row],[Zeitungstext]],",",""))</f>
        <v>3</v>
      </c>
    </row>
    <row r="14" spans="2:11" x14ac:dyDescent="0.25">
      <c r="B14" t="s">
        <v>148</v>
      </c>
      <c r="C14">
        <f>LEN(Tab_Kandidaten[[#This Row],[Zeitungstext]])</f>
        <v>44</v>
      </c>
      <c r="D14">
        <f>VALUE(MID(Tab_Kandidaten[[#This Row],[Zeitungstext]],1,3))</f>
        <v>112</v>
      </c>
      <c r="E14" s="27" t="str">
        <f>MID(Tab_Kandidaten[[#This Row],[Zeitungstext]],5,Tab_Kandidaten[[#This Row],[Länge]]-9)</f>
        <v>Knieling, Jürgen, Rentner, Stadtrat</v>
      </c>
      <c r="F14" s="27">
        <f>VALUE(MID(Tab_Kandidaten[[#This Row],[Zeitungstext]],Tab_Kandidaten[[#This Row],[Länge]]-3,4))</f>
        <v>1954</v>
      </c>
      <c r="G14" s="27">
        <f>2020-Tab_Kandidaten[[#This Row],[GebJahr]]</f>
        <v>66</v>
      </c>
      <c r="H14" s="27">
        <f>ROUND(Tab_Kandidaten[[#This Row],[Alter]],-1)</f>
        <v>70</v>
      </c>
      <c r="I14" s="27">
        <f>QUOTIENT(Tab_Kandidaten[[#This Row],[ID]],100)</f>
        <v>1</v>
      </c>
      <c r="J14" s="27">
        <f>MOD(Tab_Kandidaten[[#This Row],[ID]],100)</f>
        <v>12</v>
      </c>
      <c r="K14" s="27">
        <f>Tab_Kandidaten[[#This Row],[Länge]]-LEN(SUBSTITUTE(Tab_Kandidaten[[#This Row],[Zeitungstext]],",",""))</f>
        <v>3</v>
      </c>
    </row>
    <row r="15" spans="2:11" x14ac:dyDescent="0.25">
      <c r="B15" t="s">
        <v>149</v>
      </c>
      <c r="C15">
        <f>LEN(Tab_Kandidaten[[#This Row],[Zeitungstext]])</f>
        <v>54</v>
      </c>
      <c r="D15">
        <f>VALUE(MID(Tab_Kandidaten[[#This Row],[Zeitungstext]],1,3))</f>
        <v>113</v>
      </c>
      <c r="E15" s="27" t="str">
        <f>MID(Tab_Kandidaten[[#This Row],[Zeitungstext]],5,Tab_Kandidaten[[#This Row],[Länge]]-9)</f>
        <v>Lentzen, Matthias, Bankangestellter, Stadtrat</v>
      </c>
      <c r="F15" s="27">
        <f>VALUE(MID(Tab_Kandidaten[[#This Row],[Zeitungstext]],Tab_Kandidaten[[#This Row],[Länge]]-3,4))</f>
        <v>1975</v>
      </c>
      <c r="G15" s="27">
        <f>2020-Tab_Kandidaten[[#This Row],[GebJahr]]</f>
        <v>45</v>
      </c>
      <c r="H15" s="27">
        <f>ROUND(Tab_Kandidaten[[#This Row],[Alter]],-1)</f>
        <v>50</v>
      </c>
      <c r="I15" s="27">
        <f>QUOTIENT(Tab_Kandidaten[[#This Row],[ID]],100)</f>
        <v>1</v>
      </c>
      <c r="J15" s="27">
        <f>MOD(Tab_Kandidaten[[#This Row],[ID]],100)</f>
        <v>13</v>
      </c>
      <c r="K15" s="27">
        <f>Tab_Kandidaten[[#This Row],[Länge]]-LEN(SUBSTITUTE(Tab_Kandidaten[[#This Row],[Zeitungstext]],",",""))</f>
        <v>3</v>
      </c>
    </row>
    <row r="16" spans="2:11" x14ac:dyDescent="0.25">
      <c r="B16" t="s">
        <v>150</v>
      </c>
      <c r="C16">
        <f>LEN(Tab_Kandidaten[[#This Row],[Zeitungstext]])</f>
        <v>64</v>
      </c>
      <c r="D16">
        <f>VALUE(MID(Tab_Kandidaten[[#This Row],[Zeitungstext]],1,3))</f>
        <v>114</v>
      </c>
      <c r="E16" s="27" t="str">
        <f>MID(Tab_Kandidaten[[#This Row],[Zeitungstext]],5,Tab_Kandidaten[[#This Row],[Länge]]-9)</f>
        <v>Singer, Matthias, M.A. Polizeivollzugsbeamter, Stadtrat</v>
      </c>
      <c r="F16" s="27">
        <f>VALUE(MID(Tab_Kandidaten[[#This Row],[Zeitungstext]],Tab_Kandidaten[[#This Row],[Länge]]-3,4))</f>
        <v>1977</v>
      </c>
      <c r="G16" s="27">
        <f>2020-Tab_Kandidaten[[#This Row],[GebJahr]]</f>
        <v>43</v>
      </c>
      <c r="H16" s="27">
        <f>ROUND(Tab_Kandidaten[[#This Row],[Alter]],-1)</f>
        <v>40</v>
      </c>
      <c r="I16" s="27">
        <f>QUOTIENT(Tab_Kandidaten[[#This Row],[ID]],100)</f>
        <v>1</v>
      </c>
      <c r="J16" s="27">
        <f>MOD(Tab_Kandidaten[[#This Row],[ID]],100)</f>
        <v>14</v>
      </c>
      <c r="K16" s="27">
        <f>Tab_Kandidaten[[#This Row],[Länge]]-LEN(SUBSTITUTE(Tab_Kandidaten[[#This Row],[Zeitungstext]],",",""))</f>
        <v>3</v>
      </c>
    </row>
    <row r="17" spans="2:11" x14ac:dyDescent="0.25">
      <c r="B17" t="s">
        <v>151</v>
      </c>
      <c r="C17">
        <f>LEN(Tab_Kandidaten[[#This Row],[Zeitungstext]])</f>
        <v>50</v>
      </c>
      <c r="D17">
        <f>VALUE(MID(Tab_Kandidaten[[#This Row],[Zeitungstext]],1,3))</f>
        <v>115</v>
      </c>
      <c r="E17" s="27" t="str">
        <f>MID(Tab_Kandidaten[[#This Row],[Zeitungstext]],5,Tab_Kandidaten[[#This Row],[Länge]]-9)</f>
        <v>Wietzel, Dieter, Fachoberlehrer, Stadtrat</v>
      </c>
      <c r="F17" s="27">
        <f>VALUE(MID(Tab_Kandidaten[[#This Row],[Zeitungstext]],Tab_Kandidaten[[#This Row],[Länge]]-3,4))</f>
        <v>1961</v>
      </c>
      <c r="G17" s="27">
        <f>2020-Tab_Kandidaten[[#This Row],[GebJahr]]</f>
        <v>59</v>
      </c>
      <c r="H17" s="27">
        <f>ROUND(Tab_Kandidaten[[#This Row],[Alter]],-1)</f>
        <v>60</v>
      </c>
      <c r="I17" s="27">
        <f>QUOTIENT(Tab_Kandidaten[[#This Row],[ID]],100)</f>
        <v>1</v>
      </c>
      <c r="J17" s="27">
        <f>MOD(Tab_Kandidaten[[#This Row],[ID]],100)</f>
        <v>15</v>
      </c>
      <c r="K17" s="27">
        <f>Tab_Kandidaten[[#This Row],[Länge]]-LEN(SUBSTITUTE(Tab_Kandidaten[[#This Row],[Zeitungstext]],",",""))</f>
        <v>3</v>
      </c>
    </row>
    <row r="18" spans="2:11" x14ac:dyDescent="0.25">
      <c r="B18" t="s">
        <v>152</v>
      </c>
      <c r="C18">
        <f>LEN(Tab_Kandidaten[[#This Row],[Zeitungstext]])</f>
        <v>52</v>
      </c>
      <c r="D18">
        <f>VALUE(MID(Tab_Kandidaten[[#This Row],[Zeitungstext]],1,3))</f>
        <v>116</v>
      </c>
      <c r="E18" s="27" t="str">
        <f>MID(Tab_Kandidaten[[#This Row],[Zeitungstext]],5,Tab_Kandidaten[[#This Row],[Länge]]-9)</f>
        <v>Zwurtschek, Esther, Germanistin, Stadträtin</v>
      </c>
      <c r="F18" s="27">
        <f>VALUE(MID(Tab_Kandidaten[[#This Row],[Zeitungstext]],Tab_Kandidaten[[#This Row],[Länge]]-3,4))</f>
        <v>1956</v>
      </c>
      <c r="G18" s="27">
        <f>2020-Tab_Kandidaten[[#This Row],[GebJahr]]</f>
        <v>64</v>
      </c>
      <c r="H18" s="27">
        <f>ROUND(Tab_Kandidaten[[#This Row],[Alter]],-1)</f>
        <v>60</v>
      </c>
      <c r="I18" s="27">
        <f>QUOTIENT(Tab_Kandidaten[[#This Row],[ID]],100)</f>
        <v>1</v>
      </c>
      <c r="J18" s="27">
        <f>MOD(Tab_Kandidaten[[#This Row],[ID]],100)</f>
        <v>16</v>
      </c>
      <c r="K18" s="27">
        <f>Tab_Kandidaten[[#This Row],[Länge]]-LEN(SUBSTITUTE(Tab_Kandidaten[[#This Row],[Zeitungstext]],",",""))</f>
        <v>3</v>
      </c>
    </row>
    <row r="19" spans="2:11" x14ac:dyDescent="0.25">
      <c r="B19" t="s">
        <v>153</v>
      </c>
      <c r="C19">
        <f>LEN(Tab_Kandidaten[[#This Row],[Zeitungstext]])</f>
        <v>43</v>
      </c>
      <c r="D19">
        <f>VALUE(MID(Tab_Kandidaten[[#This Row],[Zeitungstext]],1,3))</f>
        <v>117</v>
      </c>
      <c r="E19" s="27" t="str">
        <f>MID(Tab_Kandidaten[[#This Row],[Zeitungstext]],5,Tab_Kandidaten[[#This Row],[Länge]]-9)</f>
        <v>Brecht, Kerstin, Industriekauffrau</v>
      </c>
      <c r="F19" s="27">
        <f>VALUE(MID(Tab_Kandidaten[[#This Row],[Zeitungstext]],Tab_Kandidaten[[#This Row],[Länge]]-3,4))</f>
        <v>1970</v>
      </c>
      <c r="G19" s="27">
        <f>2020-Tab_Kandidaten[[#This Row],[GebJahr]]</f>
        <v>50</v>
      </c>
      <c r="H19" s="27">
        <f>ROUND(Tab_Kandidaten[[#This Row],[Alter]],-1)</f>
        <v>50</v>
      </c>
      <c r="I19" s="27">
        <f>QUOTIENT(Tab_Kandidaten[[#This Row],[ID]],100)</f>
        <v>1</v>
      </c>
      <c r="J19" s="27">
        <f>MOD(Tab_Kandidaten[[#This Row],[ID]],100)</f>
        <v>17</v>
      </c>
      <c r="K19" s="27">
        <f>Tab_Kandidaten[[#This Row],[Länge]]-LEN(SUBSTITUTE(Tab_Kandidaten[[#This Row],[Zeitungstext]],",",""))</f>
        <v>2</v>
      </c>
    </row>
    <row r="20" spans="2:11" x14ac:dyDescent="0.25">
      <c r="B20" t="s">
        <v>154</v>
      </c>
      <c r="C20">
        <f>LEN(Tab_Kandidaten[[#This Row],[Zeitungstext]])</f>
        <v>45</v>
      </c>
      <c r="D20">
        <f>VALUE(MID(Tab_Kandidaten[[#This Row],[Zeitungstext]],1,3))</f>
        <v>118</v>
      </c>
      <c r="E20" s="27" t="str">
        <f>MID(Tab_Kandidaten[[#This Row],[Zeitungstext]],5,Tab_Kandidaten[[#This Row],[Länge]]-9)</f>
        <v>Hanschke, Maximilian, dualer Student</v>
      </c>
      <c r="F20" s="27">
        <f>VALUE(MID(Tab_Kandidaten[[#This Row],[Zeitungstext]],Tab_Kandidaten[[#This Row],[Länge]]-3,4))</f>
        <v>1999</v>
      </c>
      <c r="G20" s="27">
        <f>2020-Tab_Kandidaten[[#This Row],[GebJahr]]</f>
        <v>21</v>
      </c>
      <c r="H20" s="27">
        <f>ROUND(Tab_Kandidaten[[#This Row],[Alter]],-1)</f>
        <v>20</v>
      </c>
      <c r="I20" s="27">
        <f>QUOTIENT(Tab_Kandidaten[[#This Row],[ID]],100)</f>
        <v>1</v>
      </c>
      <c r="J20" s="27">
        <f>MOD(Tab_Kandidaten[[#This Row],[ID]],100)</f>
        <v>18</v>
      </c>
      <c r="K20" s="27">
        <f>Tab_Kandidaten[[#This Row],[Länge]]-LEN(SUBSTITUTE(Tab_Kandidaten[[#This Row],[Zeitungstext]],",",""))</f>
        <v>2</v>
      </c>
    </row>
    <row r="21" spans="2:11" x14ac:dyDescent="0.25">
      <c r="B21" t="s">
        <v>155</v>
      </c>
      <c r="C21">
        <f>LEN(Tab_Kandidaten[[#This Row],[Zeitungstext]])</f>
        <v>51</v>
      </c>
      <c r="D21">
        <f>VALUE(MID(Tab_Kandidaten[[#This Row],[Zeitungstext]],1,3))</f>
        <v>119</v>
      </c>
      <c r="E21" s="27" t="str">
        <f>MID(Tab_Kandidaten[[#This Row],[Zeitungstext]],5,Tab_Kandidaten[[#This Row],[Länge]]-9)</f>
        <v>Schulze, Markus, selbstständiger Gastronom</v>
      </c>
      <c r="F21" s="27">
        <f>VALUE(MID(Tab_Kandidaten[[#This Row],[Zeitungstext]],Tab_Kandidaten[[#This Row],[Länge]]-3,4))</f>
        <v>1980</v>
      </c>
      <c r="G21" s="27">
        <f>2020-Tab_Kandidaten[[#This Row],[GebJahr]]</f>
        <v>40</v>
      </c>
      <c r="H21" s="27">
        <f>ROUND(Tab_Kandidaten[[#This Row],[Alter]],-1)</f>
        <v>40</v>
      </c>
      <c r="I21" s="27">
        <f>QUOTIENT(Tab_Kandidaten[[#This Row],[ID]],100)</f>
        <v>1</v>
      </c>
      <c r="J21" s="27">
        <f>MOD(Tab_Kandidaten[[#This Row],[ID]],100)</f>
        <v>19</v>
      </c>
      <c r="K21" s="27">
        <f>Tab_Kandidaten[[#This Row],[Länge]]-LEN(SUBSTITUTE(Tab_Kandidaten[[#This Row],[Zeitungstext]],",",""))</f>
        <v>2</v>
      </c>
    </row>
    <row r="22" spans="2:11" x14ac:dyDescent="0.25">
      <c r="B22" t="s">
        <v>156</v>
      </c>
      <c r="C22">
        <f>LEN(Tab_Kandidaten[[#This Row],[Zeitungstext]])</f>
        <v>51</v>
      </c>
      <c r="D22">
        <f>VALUE(MID(Tab_Kandidaten[[#This Row],[Zeitungstext]],1,3))</f>
        <v>120</v>
      </c>
      <c r="E22" s="27" t="str">
        <f>MID(Tab_Kandidaten[[#This Row],[Zeitungstext]],5,Tab_Kandidaten[[#This Row],[Länge]]-9)</f>
        <v>Rädlein, Christina, Veranstaltungsleiterin</v>
      </c>
      <c r="F22" s="27">
        <f>VALUE(MID(Tab_Kandidaten[[#This Row],[Zeitungstext]],Tab_Kandidaten[[#This Row],[Länge]]-3,4))</f>
        <v>1991</v>
      </c>
      <c r="G22" s="27">
        <f>2020-Tab_Kandidaten[[#This Row],[GebJahr]]</f>
        <v>29</v>
      </c>
      <c r="H22" s="27">
        <f>ROUND(Tab_Kandidaten[[#This Row],[Alter]],-1)</f>
        <v>30</v>
      </c>
      <c r="I22" s="27">
        <f>QUOTIENT(Tab_Kandidaten[[#This Row],[ID]],100)</f>
        <v>1</v>
      </c>
      <c r="J22" s="27">
        <f>MOD(Tab_Kandidaten[[#This Row],[ID]],100)</f>
        <v>20</v>
      </c>
      <c r="K22" s="27">
        <f>Tab_Kandidaten[[#This Row],[Länge]]-LEN(SUBSTITUTE(Tab_Kandidaten[[#This Row],[Zeitungstext]],",",""))</f>
        <v>2</v>
      </c>
    </row>
    <row r="23" spans="2:11" x14ac:dyDescent="0.25">
      <c r="B23" t="s">
        <v>157</v>
      </c>
      <c r="C23">
        <f>LEN(Tab_Kandidaten[[#This Row],[Zeitungstext]])</f>
        <v>38</v>
      </c>
      <c r="D23">
        <f>VALUE(MID(Tab_Kandidaten[[#This Row],[Zeitungstext]],1,3))</f>
        <v>121</v>
      </c>
      <c r="E23" s="27" t="str">
        <f>MID(Tab_Kandidaten[[#This Row],[Zeitungstext]],5,Tab_Kandidaten[[#This Row],[Länge]]-9)</f>
        <v>Infante, Claudia, Zollbeamtin</v>
      </c>
      <c r="F23" s="27">
        <f>VALUE(MID(Tab_Kandidaten[[#This Row],[Zeitungstext]],Tab_Kandidaten[[#This Row],[Länge]]-3,4))</f>
        <v>1975</v>
      </c>
      <c r="G23" s="27">
        <f>2020-Tab_Kandidaten[[#This Row],[GebJahr]]</f>
        <v>45</v>
      </c>
      <c r="H23" s="27">
        <f>ROUND(Tab_Kandidaten[[#This Row],[Alter]],-1)</f>
        <v>50</v>
      </c>
      <c r="I23" s="27">
        <f>QUOTIENT(Tab_Kandidaten[[#This Row],[ID]],100)</f>
        <v>1</v>
      </c>
      <c r="J23" s="27">
        <f>MOD(Tab_Kandidaten[[#This Row],[ID]],100)</f>
        <v>21</v>
      </c>
      <c r="K23" s="27">
        <f>Tab_Kandidaten[[#This Row],[Länge]]-LEN(SUBSTITUTE(Tab_Kandidaten[[#This Row],[Zeitungstext]],",",""))</f>
        <v>2</v>
      </c>
    </row>
    <row r="24" spans="2:11" x14ac:dyDescent="0.25">
      <c r="B24" t="s">
        <v>158</v>
      </c>
      <c r="C24">
        <f>LEN(Tab_Kandidaten[[#This Row],[Zeitungstext]])</f>
        <v>43</v>
      </c>
      <c r="D24">
        <f>VALUE(MID(Tab_Kandidaten[[#This Row],[Zeitungstext]],1,3))</f>
        <v>122</v>
      </c>
      <c r="E24" s="27" t="str">
        <f>MID(Tab_Kandidaten[[#This Row],[Zeitungstext]],5,Tab_Kandidaten[[#This Row],[Länge]]-9)</f>
        <v>Schmalfuß, Stefan, Geschäftsführer</v>
      </c>
      <c r="F24" s="27">
        <f>VALUE(MID(Tab_Kandidaten[[#This Row],[Zeitungstext]],Tab_Kandidaten[[#This Row],[Länge]]-3,4))</f>
        <v>1973</v>
      </c>
      <c r="G24" s="27">
        <f>2020-Tab_Kandidaten[[#This Row],[GebJahr]]</f>
        <v>47</v>
      </c>
      <c r="H24" s="27">
        <f>ROUND(Tab_Kandidaten[[#This Row],[Alter]],-1)</f>
        <v>50</v>
      </c>
      <c r="I24" s="27">
        <f>QUOTIENT(Tab_Kandidaten[[#This Row],[ID]],100)</f>
        <v>1</v>
      </c>
      <c r="J24" s="27">
        <f>MOD(Tab_Kandidaten[[#This Row],[ID]],100)</f>
        <v>22</v>
      </c>
      <c r="K24" s="27">
        <f>Tab_Kandidaten[[#This Row],[Länge]]-LEN(SUBSTITUTE(Tab_Kandidaten[[#This Row],[Zeitungstext]],",",""))</f>
        <v>2</v>
      </c>
    </row>
    <row r="25" spans="2:11" x14ac:dyDescent="0.25">
      <c r="B25" t="s">
        <v>159</v>
      </c>
      <c r="C25">
        <f>LEN(Tab_Kandidaten[[#This Row],[Zeitungstext]])</f>
        <v>55</v>
      </c>
      <c r="D25">
        <f>VALUE(MID(Tab_Kandidaten[[#This Row],[Zeitungstext]],1,3))</f>
        <v>123</v>
      </c>
      <c r="E25" s="27" t="str">
        <f>MID(Tab_Kandidaten[[#This Row],[Zeitungstext]],5,Tab_Kandidaten[[#This Row],[Länge]]-9)</f>
        <v>Puchta, Alexandra, Sozialversicherungskauffrau</v>
      </c>
      <c r="F25" s="27">
        <f>VALUE(MID(Tab_Kandidaten[[#This Row],[Zeitungstext]],Tab_Kandidaten[[#This Row],[Länge]]-3,4))</f>
        <v>1972</v>
      </c>
      <c r="G25" s="27">
        <f>2020-Tab_Kandidaten[[#This Row],[GebJahr]]</f>
        <v>48</v>
      </c>
      <c r="H25" s="27">
        <f>ROUND(Tab_Kandidaten[[#This Row],[Alter]],-1)</f>
        <v>50</v>
      </c>
      <c r="I25" s="27">
        <f>QUOTIENT(Tab_Kandidaten[[#This Row],[ID]],100)</f>
        <v>1</v>
      </c>
      <c r="J25" s="27">
        <f>MOD(Tab_Kandidaten[[#This Row],[ID]],100)</f>
        <v>23</v>
      </c>
      <c r="K25" s="27">
        <f>Tab_Kandidaten[[#This Row],[Länge]]-LEN(SUBSTITUTE(Tab_Kandidaten[[#This Row],[Zeitungstext]],",",""))</f>
        <v>2</v>
      </c>
    </row>
    <row r="26" spans="2:11" x14ac:dyDescent="0.25">
      <c r="B26" t="s">
        <v>160</v>
      </c>
      <c r="C26">
        <f>LEN(Tab_Kandidaten[[#This Row],[Zeitungstext]])</f>
        <v>77</v>
      </c>
      <c r="D26">
        <f>VALUE(MID(Tab_Kandidaten[[#This Row],[Zeitungstext]],1,3))</f>
        <v>124</v>
      </c>
      <c r="E26" s="27" t="str">
        <f>MID(Tab_Kandidaten[[#This Row],[Zeitungstext]],5,Tab_Kandidaten[[#This Row],[Länge]]-9)</f>
        <v>Tsoungui Ekoumou, Aimé Florent, Dipl.-Ing. (TU) Dozent im IT-Bereich</v>
      </c>
      <c r="F26" s="27">
        <f>VALUE(MID(Tab_Kandidaten[[#This Row],[Zeitungstext]],Tab_Kandidaten[[#This Row],[Länge]]-3,4))</f>
        <v>1965</v>
      </c>
      <c r="G26" s="27">
        <f>2020-Tab_Kandidaten[[#This Row],[GebJahr]]</f>
        <v>55</v>
      </c>
      <c r="H26" s="27">
        <f>ROUND(Tab_Kandidaten[[#This Row],[Alter]],-1)</f>
        <v>60</v>
      </c>
      <c r="I26" s="27">
        <f>QUOTIENT(Tab_Kandidaten[[#This Row],[ID]],100)</f>
        <v>1</v>
      </c>
      <c r="J26" s="27">
        <f>MOD(Tab_Kandidaten[[#This Row],[ID]],100)</f>
        <v>24</v>
      </c>
      <c r="K26" s="27">
        <f>Tab_Kandidaten[[#This Row],[Länge]]-LEN(SUBSTITUTE(Tab_Kandidaten[[#This Row],[Zeitungstext]],",",""))</f>
        <v>2</v>
      </c>
    </row>
    <row r="27" spans="2:11" x14ac:dyDescent="0.25">
      <c r="B27" t="s">
        <v>161</v>
      </c>
      <c r="C27">
        <f>LEN(Tab_Kandidaten[[#This Row],[Zeitungstext]])</f>
        <v>35</v>
      </c>
      <c r="D27">
        <f>VALUE(MID(Tab_Kandidaten[[#This Row],[Zeitungstext]],1,3))</f>
        <v>125</v>
      </c>
      <c r="E27" s="27" t="str">
        <f>MID(Tab_Kandidaten[[#This Row],[Zeitungstext]],5,Tab_Kandidaten[[#This Row],[Länge]]-9)</f>
        <v>Reuter, Eric, Rechtsanwalt</v>
      </c>
      <c r="F27" s="27">
        <f>VALUE(MID(Tab_Kandidaten[[#This Row],[Zeitungstext]],Tab_Kandidaten[[#This Row],[Länge]]-3,4))</f>
        <v>1977</v>
      </c>
      <c r="G27" s="27">
        <f>2020-Tab_Kandidaten[[#This Row],[GebJahr]]</f>
        <v>43</v>
      </c>
      <c r="H27" s="27">
        <f>ROUND(Tab_Kandidaten[[#This Row],[Alter]],-1)</f>
        <v>40</v>
      </c>
      <c r="I27" s="27">
        <f>QUOTIENT(Tab_Kandidaten[[#This Row],[ID]],100)</f>
        <v>1</v>
      </c>
      <c r="J27" s="27">
        <f>MOD(Tab_Kandidaten[[#This Row],[ID]],100)</f>
        <v>25</v>
      </c>
      <c r="K27" s="27">
        <f>Tab_Kandidaten[[#This Row],[Länge]]-LEN(SUBSTITUTE(Tab_Kandidaten[[#This Row],[Zeitungstext]],",",""))</f>
        <v>2</v>
      </c>
    </row>
    <row r="28" spans="2:11" x14ac:dyDescent="0.25">
      <c r="B28" t="s">
        <v>162</v>
      </c>
      <c r="C28">
        <f>LEN(Tab_Kandidaten[[#This Row],[Zeitungstext]])</f>
        <v>38</v>
      </c>
      <c r="D28">
        <f>VALUE(MID(Tab_Kandidaten[[#This Row],[Zeitungstext]],1,3))</f>
        <v>126</v>
      </c>
      <c r="E28" s="27" t="str">
        <f>MID(Tab_Kandidaten[[#This Row],[Zeitungstext]],5,Tab_Kandidaten[[#This Row],[Länge]]-9)</f>
        <v>Maurer, Gerhard, Berufssoldat</v>
      </c>
      <c r="F28" s="27">
        <f>VALUE(MID(Tab_Kandidaten[[#This Row],[Zeitungstext]],Tab_Kandidaten[[#This Row],[Länge]]-3,4))</f>
        <v>1966</v>
      </c>
      <c r="G28" s="27">
        <f>2020-Tab_Kandidaten[[#This Row],[GebJahr]]</f>
        <v>54</v>
      </c>
      <c r="H28" s="27">
        <f>ROUND(Tab_Kandidaten[[#This Row],[Alter]],-1)</f>
        <v>50</v>
      </c>
      <c r="I28" s="27">
        <f>QUOTIENT(Tab_Kandidaten[[#This Row],[ID]],100)</f>
        <v>1</v>
      </c>
      <c r="J28" s="27">
        <f>MOD(Tab_Kandidaten[[#This Row],[ID]],100)</f>
        <v>26</v>
      </c>
      <c r="K28" s="27">
        <f>Tab_Kandidaten[[#This Row],[Länge]]-LEN(SUBSTITUTE(Tab_Kandidaten[[#This Row],[Zeitungstext]],",",""))</f>
        <v>2</v>
      </c>
    </row>
    <row r="29" spans="2:11" x14ac:dyDescent="0.25">
      <c r="B29" t="s">
        <v>163</v>
      </c>
      <c r="C29">
        <f>LEN(Tab_Kandidaten[[#This Row],[Zeitungstext]])</f>
        <v>36</v>
      </c>
      <c r="D29">
        <f>VALUE(MID(Tab_Kandidaten[[#This Row],[Zeitungstext]],1,3))</f>
        <v>127</v>
      </c>
      <c r="E29" s="27" t="str">
        <f>MID(Tab_Kandidaten[[#This Row],[Zeitungstext]],5,Tab_Kandidaten[[#This Row],[Länge]]-9)</f>
        <v>Akbulut, Salih, Kfz-Meister</v>
      </c>
      <c r="F29" s="27">
        <f>VALUE(MID(Tab_Kandidaten[[#This Row],[Zeitungstext]],Tab_Kandidaten[[#This Row],[Länge]]-3,4))</f>
        <v>1970</v>
      </c>
      <c r="G29" s="27">
        <f>2020-Tab_Kandidaten[[#This Row],[GebJahr]]</f>
        <v>50</v>
      </c>
      <c r="H29" s="27">
        <f>ROUND(Tab_Kandidaten[[#This Row],[Alter]],-1)</f>
        <v>50</v>
      </c>
      <c r="I29" s="27">
        <f>QUOTIENT(Tab_Kandidaten[[#This Row],[ID]],100)</f>
        <v>1</v>
      </c>
      <c r="J29" s="27">
        <f>MOD(Tab_Kandidaten[[#This Row],[ID]],100)</f>
        <v>27</v>
      </c>
      <c r="K29" s="27">
        <f>Tab_Kandidaten[[#This Row],[Länge]]-LEN(SUBSTITUTE(Tab_Kandidaten[[#This Row],[Zeitungstext]],",",""))</f>
        <v>2</v>
      </c>
    </row>
    <row r="30" spans="2:11" x14ac:dyDescent="0.25">
      <c r="B30" t="s">
        <v>164</v>
      </c>
      <c r="C30">
        <f>LEN(Tab_Kandidaten[[#This Row],[Zeitungstext]])</f>
        <v>38</v>
      </c>
      <c r="D30">
        <f>VALUE(MID(Tab_Kandidaten[[#This Row],[Zeitungstext]],1,3))</f>
        <v>128</v>
      </c>
      <c r="E30" s="27" t="str">
        <f>MID(Tab_Kandidaten[[#This Row],[Zeitungstext]],5,Tab_Kandidaten[[#This Row],[Länge]]-9)</f>
        <v>Gollwitzer, Kai, Rechtsanwalt</v>
      </c>
      <c r="F30" s="27">
        <f>VALUE(MID(Tab_Kandidaten[[#This Row],[Zeitungstext]],Tab_Kandidaten[[#This Row],[Länge]]-3,4))</f>
        <v>1970</v>
      </c>
      <c r="G30" s="27">
        <f>2020-Tab_Kandidaten[[#This Row],[GebJahr]]</f>
        <v>50</v>
      </c>
      <c r="H30" s="27">
        <f>ROUND(Tab_Kandidaten[[#This Row],[Alter]],-1)</f>
        <v>50</v>
      </c>
      <c r="I30" s="27">
        <f>QUOTIENT(Tab_Kandidaten[[#This Row],[ID]],100)</f>
        <v>1</v>
      </c>
      <c r="J30" s="27">
        <f>MOD(Tab_Kandidaten[[#This Row],[ID]],100)</f>
        <v>28</v>
      </c>
      <c r="K30" s="27">
        <f>Tab_Kandidaten[[#This Row],[Länge]]-LEN(SUBSTITUTE(Tab_Kandidaten[[#This Row],[Zeitungstext]],",",""))</f>
        <v>2</v>
      </c>
    </row>
    <row r="31" spans="2:11" x14ac:dyDescent="0.25">
      <c r="B31" t="s">
        <v>165</v>
      </c>
      <c r="C31">
        <f>LEN(Tab_Kandidaten[[#This Row],[Zeitungstext]])</f>
        <v>54</v>
      </c>
      <c r="D31">
        <f>VALUE(MID(Tab_Kandidaten[[#This Row],[Zeitungstext]],1,3))</f>
        <v>129</v>
      </c>
      <c r="E31" s="27" t="str">
        <f>MID(Tab_Kandidaten[[#This Row],[Zeitungstext]],5,Tab_Kandidaten[[#This Row],[Länge]]-9)</f>
        <v>Müller, Anja, Referentin im Produktmanagement</v>
      </c>
      <c r="F31" s="27">
        <f>VALUE(MID(Tab_Kandidaten[[#This Row],[Zeitungstext]],Tab_Kandidaten[[#This Row],[Länge]]-3,4))</f>
        <v>1977</v>
      </c>
      <c r="G31" s="27">
        <f>2020-Tab_Kandidaten[[#This Row],[GebJahr]]</f>
        <v>43</v>
      </c>
      <c r="H31" s="27">
        <f>ROUND(Tab_Kandidaten[[#This Row],[Alter]],-1)</f>
        <v>40</v>
      </c>
      <c r="I31" s="27">
        <f>QUOTIENT(Tab_Kandidaten[[#This Row],[ID]],100)</f>
        <v>1</v>
      </c>
      <c r="J31" s="27">
        <f>MOD(Tab_Kandidaten[[#This Row],[ID]],100)</f>
        <v>29</v>
      </c>
      <c r="K31" s="27">
        <f>Tab_Kandidaten[[#This Row],[Länge]]-LEN(SUBSTITUTE(Tab_Kandidaten[[#This Row],[Zeitungstext]],",",""))</f>
        <v>2</v>
      </c>
    </row>
    <row r="32" spans="2:11" x14ac:dyDescent="0.25">
      <c r="B32" t="s">
        <v>166</v>
      </c>
      <c r="C32">
        <f>LEN(Tab_Kandidaten[[#This Row],[Zeitungstext]])</f>
        <v>45</v>
      </c>
      <c r="D32">
        <f>VALUE(MID(Tab_Kandidaten[[#This Row],[Zeitungstext]],1,3))</f>
        <v>130</v>
      </c>
      <c r="E32" s="27" t="str">
        <f>MID(Tab_Kandidaten[[#This Row],[Zeitungstext]],5,Tab_Kandidaten[[#This Row],[Länge]]-9)</f>
        <v>Vogel, Thomas, Justizvollzugsbeamter</v>
      </c>
      <c r="F32" s="27">
        <f>VALUE(MID(Tab_Kandidaten[[#This Row],[Zeitungstext]],Tab_Kandidaten[[#This Row],[Länge]]-3,4))</f>
        <v>1961</v>
      </c>
      <c r="G32" s="27">
        <f>2020-Tab_Kandidaten[[#This Row],[GebJahr]]</f>
        <v>59</v>
      </c>
      <c r="H32" s="27">
        <f>ROUND(Tab_Kandidaten[[#This Row],[Alter]],-1)</f>
        <v>60</v>
      </c>
      <c r="I32" s="27">
        <f>QUOTIENT(Tab_Kandidaten[[#This Row],[ID]],100)</f>
        <v>1</v>
      </c>
      <c r="J32" s="27">
        <f>MOD(Tab_Kandidaten[[#This Row],[ID]],100)</f>
        <v>30</v>
      </c>
      <c r="K32" s="27">
        <f>Tab_Kandidaten[[#This Row],[Länge]]-LEN(SUBSTITUTE(Tab_Kandidaten[[#This Row],[Zeitungstext]],",",""))</f>
        <v>2</v>
      </c>
    </row>
    <row r="33" spans="2:11" x14ac:dyDescent="0.25">
      <c r="B33" t="s">
        <v>167</v>
      </c>
      <c r="C33">
        <f>LEN(Tab_Kandidaten[[#This Row],[Zeitungstext]])</f>
        <v>54</v>
      </c>
      <c r="D33">
        <f>VALUE(MID(Tab_Kandidaten[[#This Row],[Zeitungstext]],1,3))</f>
        <v>131</v>
      </c>
      <c r="E33" s="27" t="str">
        <f>MID(Tab_Kandidaten[[#This Row],[Zeitungstext]],5,Tab_Kandidaten[[#This Row],[Länge]]-9)</f>
        <v>Kießling, Fatima, B.A. Wirtschaftsassistentin</v>
      </c>
      <c r="F33" s="27">
        <f>VALUE(MID(Tab_Kandidaten[[#This Row],[Zeitungstext]],Tab_Kandidaten[[#This Row],[Länge]]-3,4))</f>
        <v>1994</v>
      </c>
      <c r="G33" s="27">
        <f>2020-Tab_Kandidaten[[#This Row],[GebJahr]]</f>
        <v>26</v>
      </c>
      <c r="H33" s="27">
        <f>ROUND(Tab_Kandidaten[[#This Row],[Alter]],-1)</f>
        <v>30</v>
      </c>
      <c r="I33" s="27">
        <f>QUOTIENT(Tab_Kandidaten[[#This Row],[ID]],100)</f>
        <v>1</v>
      </c>
      <c r="J33" s="27">
        <f>MOD(Tab_Kandidaten[[#This Row],[ID]],100)</f>
        <v>31</v>
      </c>
      <c r="K33" s="27">
        <f>Tab_Kandidaten[[#This Row],[Länge]]-LEN(SUBSTITUTE(Tab_Kandidaten[[#This Row],[Zeitungstext]],",",""))</f>
        <v>2</v>
      </c>
    </row>
    <row r="34" spans="2:11" x14ac:dyDescent="0.25">
      <c r="B34" t="s">
        <v>168</v>
      </c>
      <c r="C34">
        <f>LEN(Tab_Kandidaten[[#This Row],[Zeitungstext]])</f>
        <v>33</v>
      </c>
      <c r="D34">
        <f>VALUE(MID(Tab_Kandidaten[[#This Row],[Zeitungstext]],1,3))</f>
        <v>132</v>
      </c>
      <c r="E34" s="27" t="str">
        <f>MID(Tab_Kandidaten[[#This Row],[Zeitungstext]],5,Tab_Kandidaten[[#This Row],[Länge]]-9)</f>
        <v>Neumann, Lars, Justitiar</v>
      </c>
      <c r="F34" s="27">
        <f>VALUE(MID(Tab_Kandidaten[[#This Row],[Zeitungstext]],Tab_Kandidaten[[#This Row],[Länge]]-3,4))</f>
        <v>1979</v>
      </c>
      <c r="G34" s="27">
        <f>2020-Tab_Kandidaten[[#This Row],[GebJahr]]</f>
        <v>41</v>
      </c>
      <c r="H34" s="27">
        <f>ROUND(Tab_Kandidaten[[#This Row],[Alter]],-1)</f>
        <v>40</v>
      </c>
      <c r="I34" s="27">
        <f>QUOTIENT(Tab_Kandidaten[[#This Row],[ID]],100)</f>
        <v>1</v>
      </c>
      <c r="J34" s="27">
        <f>MOD(Tab_Kandidaten[[#This Row],[ID]],100)</f>
        <v>32</v>
      </c>
      <c r="K34" s="27">
        <f>Tab_Kandidaten[[#This Row],[Länge]]-LEN(SUBSTITUTE(Tab_Kandidaten[[#This Row],[Zeitungstext]],",",""))</f>
        <v>2</v>
      </c>
    </row>
    <row r="35" spans="2:11" x14ac:dyDescent="0.25">
      <c r="B35" t="s">
        <v>169</v>
      </c>
      <c r="C35">
        <f>LEN(Tab_Kandidaten[[#This Row],[Zeitungstext]])</f>
        <v>42</v>
      </c>
      <c r="D35">
        <f>VALUE(MID(Tab_Kandidaten[[#This Row],[Zeitungstext]],1,3))</f>
        <v>133</v>
      </c>
      <c r="E35" s="27" t="str">
        <f>MID(Tab_Kandidaten[[#This Row],[Zeitungstext]],5,Tab_Kandidaten[[#This Row],[Länge]]-9)</f>
        <v>Kaminski, Gabriele, Lerntrainerin</v>
      </c>
      <c r="F35" s="27">
        <f>VALUE(MID(Tab_Kandidaten[[#This Row],[Zeitungstext]],Tab_Kandidaten[[#This Row],[Länge]]-3,4))</f>
        <v>1962</v>
      </c>
      <c r="G35" s="27">
        <f>2020-Tab_Kandidaten[[#This Row],[GebJahr]]</f>
        <v>58</v>
      </c>
      <c r="H35" s="27">
        <f>ROUND(Tab_Kandidaten[[#This Row],[Alter]],-1)</f>
        <v>60</v>
      </c>
      <c r="I35" s="27">
        <f>QUOTIENT(Tab_Kandidaten[[#This Row],[ID]],100)</f>
        <v>1</v>
      </c>
      <c r="J35" s="27">
        <f>MOD(Tab_Kandidaten[[#This Row],[ID]],100)</f>
        <v>33</v>
      </c>
      <c r="K35" s="27">
        <f>Tab_Kandidaten[[#This Row],[Länge]]-LEN(SUBSTITUTE(Tab_Kandidaten[[#This Row],[Zeitungstext]],",",""))</f>
        <v>2</v>
      </c>
    </row>
    <row r="36" spans="2:11" x14ac:dyDescent="0.25">
      <c r="B36" t="s">
        <v>170</v>
      </c>
      <c r="C36">
        <f>LEN(Tab_Kandidaten[[#This Row],[Zeitungstext]])</f>
        <v>33</v>
      </c>
      <c r="D36">
        <f>VALUE(MID(Tab_Kandidaten[[#This Row],[Zeitungstext]],1,3))</f>
        <v>134</v>
      </c>
      <c r="E36" s="27" t="str">
        <f>MID(Tab_Kandidaten[[#This Row],[Zeitungstext]],5,Tab_Kandidaten[[#This Row],[Länge]]-9)</f>
        <v>Keilwitz, Klaus, Rentner</v>
      </c>
      <c r="F36" s="27">
        <f>VALUE(MID(Tab_Kandidaten[[#This Row],[Zeitungstext]],Tab_Kandidaten[[#This Row],[Länge]]-3,4))</f>
        <v>1953</v>
      </c>
      <c r="G36" s="27">
        <f>2020-Tab_Kandidaten[[#This Row],[GebJahr]]</f>
        <v>67</v>
      </c>
      <c r="H36" s="27">
        <f>ROUND(Tab_Kandidaten[[#This Row],[Alter]],-1)</f>
        <v>70</v>
      </c>
      <c r="I36" s="27">
        <f>QUOTIENT(Tab_Kandidaten[[#This Row],[ID]],100)</f>
        <v>1</v>
      </c>
      <c r="J36" s="27">
        <f>MOD(Tab_Kandidaten[[#This Row],[ID]],100)</f>
        <v>34</v>
      </c>
      <c r="K36" s="27">
        <f>Tab_Kandidaten[[#This Row],[Länge]]-LEN(SUBSTITUTE(Tab_Kandidaten[[#This Row],[Zeitungstext]],",",""))</f>
        <v>2</v>
      </c>
    </row>
    <row r="37" spans="2:11" x14ac:dyDescent="0.25">
      <c r="B37" t="s">
        <v>171</v>
      </c>
      <c r="C37">
        <f>LEN(Tab_Kandidaten[[#This Row],[Zeitungstext]])</f>
        <v>34</v>
      </c>
      <c r="D37">
        <f>VALUE(MID(Tab_Kandidaten[[#This Row],[Zeitungstext]],1,3))</f>
        <v>135</v>
      </c>
      <c r="E37" s="27" t="str">
        <f>MID(Tab_Kandidaten[[#This Row],[Zeitungstext]],5,Tab_Kandidaten[[#This Row],[Länge]]-9)</f>
        <v>Goldmann, Julian, Student</v>
      </c>
      <c r="F37" s="27">
        <f>VALUE(MID(Tab_Kandidaten[[#This Row],[Zeitungstext]],Tab_Kandidaten[[#This Row],[Länge]]-3,4))</f>
        <v>1996</v>
      </c>
      <c r="G37" s="27">
        <f>2020-Tab_Kandidaten[[#This Row],[GebJahr]]</f>
        <v>24</v>
      </c>
      <c r="H37" s="27">
        <f>ROUND(Tab_Kandidaten[[#This Row],[Alter]],-1)</f>
        <v>20</v>
      </c>
      <c r="I37" s="27">
        <f>QUOTIENT(Tab_Kandidaten[[#This Row],[ID]],100)</f>
        <v>1</v>
      </c>
      <c r="J37" s="27">
        <f>MOD(Tab_Kandidaten[[#This Row],[ID]],100)</f>
        <v>35</v>
      </c>
      <c r="K37" s="27">
        <f>Tab_Kandidaten[[#This Row],[Länge]]-LEN(SUBSTITUTE(Tab_Kandidaten[[#This Row],[Zeitungstext]],",",""))</f>
        <v>2</v>
      </c>
    </row>
    <row r="38" spans="2:11" x14ac:dyDescent="0.25">
      <c r="B38" t="s">
        <v>172</v>
      </c>
      <c r="C38">
        <f>LEN(Tab_Kandidaten[[#This Row],[Zeitungstext]])</f>
        <v>34</v>
      </c>
      <c r="D38">
        <f>VALUE(MID(Tab_Kandidaten[[#This Row],[Zeitungstext]],1,3))</f>
        <v>136</v>
      </c>
      <c r="E38" s="27" t="str">
        <f>MID(Tab_Kandidaten[[#This Row],[Zeitungstext]],5,Tab_Kandidaten[[#This Row],[Länge]]-9)</f>
        <v>Dr. Balaton, Attila, Arzt</v>
      </c>
      <c r="F38" s="27">
        <f>VALUE(MID(Tab_Kandidaten[[#This Row],[Zeitungstext]],Tab_Kandidaten[[#This Row],[Länge]]-3,4))</f>
        <v>1960</v>
      </c>
      <c r="G38" s="27">
        <f>2020-Tab_Kandidaten[[#This Row],[GebJahr]]</f>
        <v>60</v>
      </c>
      <c r="H38" s="27">
        <f>ROUND(Tab_Kandidaten[[#This Row],[Alter]],-1)</f>
        <v>60</v>
      </c>
      <c r="I38" s="27">
        <f>QUOTIENT(Tab_Kandidaten[[#This Row],[ID]],100)</f>
        <v>1</v>
      </c>
      <c r="J38" s="27">
        <f>MOD(Tab_Kandidaten[[#This Row],[ID]],100)</f>
        <v>36</v>
      </c>
      <c r="K38" s="27">
        <f>Tab_Kandidaten[[#This Row],[Länge]]-LEN(SUBSTITUTE(Tab_Kandidaten[[#This Row],[Zeitungstext]],",",""))</f>
        <v>2</v>
      </c>
    </row>
    <row r="39" spans="2:11" x14ac:dyDescent="0.25">
      <c r="B39" t="s">
        <v>173</v>
      </c>
      <c r="C39">
        <f>LEN(Tab_Kandidaten[[#This Row],[Zeitungstext]])</f>
        <v>38</v>
      </c>
      <c r="D39">
        <f>VALUE(MID(Tab_Kandidaten[[#This Row],[Zeitungstext]],1,3))</f>
        <v>137</v>
      </c>
      <c r="E39" s="27" t="str">
        <f>MID(Tab_Kandidaten[[#This Row],[Zeitungstext]],5,Tab_Kandidaten[[#This Row],[Länge]]-9)</f>
        <v>Pfaff, Jochen, Polizeibeamter</v>
      </c>
      <c r="F39" s="27">
        <f>VALUE(MID(Tab_Kandidaten[[#This Row],[Zeitungstext]],Tab_Kandidaten[[#This Row],[Länge]]-3,4))</f>
        <v>1971</v>
      </c>
      <c r="G39" s="27">
        <f>2020-Tab_Kandidaten[[#This Row],[GebJahr]]</f>
        <v>49</v>
      </c>
      <c r="H39" s="27">
        <f>ROUND(Tab_Kandidaten[[#This Row],[Alter]],-1)</f>
        <v>50</v>
      </c>
      <c r="I39" s="27">
        <f>QUOTIENT(Tab_Kandidaten[[#This Row],[ID]],100)</f>
        <v>1</v>
      </c>
      <c r="J39" s="27">
        <f>MOD(Tab_Kandidaten[[#This Row],[ID]],100)</f>
        <v>37</v>
      </c>
      <c r="K39" s="27">
        <f>Tab_Kandidaten[[#This Row],[Länge]]-LEN(SUBSTITUTE(Tab_Kandidaten[[#This Row],[Zeitungstext]],",",""))</f>
        <v>2</v>
      </c>
    </row>
    <row r="40" spans="2:11" x14ac:dyDescent="0.25">
      <c r="B40" t="s">
        <v>174</v>
      </c>
      <c r="C40">
        <f>LEN(Tab_Kandidaten[[#This Row],[Zeitungstext]])</f>
        <v>34</v>
      </c>
      <c r="D40">
        <f>VALUE(MID(Tab_Kandidaten[[#This Row],[Zeitungstext]],1,3))</f>
        <v>138</v>
      </c>
      <c r="E40" s="27" t="str">
        <f>MID(Tab_Kandidaten[[#This Row],[Zeitungstext]],5,Tab_Kandidaten[[#This Row],[Länge]]-9)</f>
        <v>Schaller, Anja, Studentin</v>
      </c>
      <c r="F40" s="27">
        <f>VALUE(MID(Tab_Kandidaten[[#This Row],[Zeitungstext]],Tab_Kandidaten[[#This Row],[Länge]]-3,4))</f>
        <v>1991</v>
      </c>
      <c r="G40" s="27">
        <f>2020-Tab_Kandidaten[[#This Row],[GebJahr]]</f>
        <v>29</v>
      </c>
      <c r="H40" s="27">
        <f>ROUND(Tab_Kandidaten[[#This Row],[Alter]],-1)</f>
        <v>30</v>
      </c>
      <c r="I40" s="27">
        <f>QUOTIENT(Tab_Kandidaten[[#This Row],[ID]],100)</f>
        <v>1</v>
      </c>
      <c r="J40" s="27">
        <f>MOD(Tab_Kandidaten[[#This Row],[ID]],100)</f>
        <v>38</v>
      </c>
      <c r="K40" s="27">
        <f>Tab_Kandidaten[[#This Row],[Länge]]-LEN(SUBSTITUTE(Tab_Kandidaten[[#This Row],[Zeitungstext]],",",""))</f>
        <v>2</v>
      </c>
    </row>
    <row r="41" spans="2:11" x14ac:dyDescent="0.25">
      <c r="B41" t="s">
        <v>175</v>
      </c>
      <c r="C41">
        <f>LEN(Tab_Kandidaten[[#This Row],[Zeitungstext]])</f>
        <v>47</v>
      </c>
      <c r="D41">
        <f>VALUE(MID(Tab_Kandidaten[[#This Row],[Zeitungstext]],1,3))</f>
        <v>139</v>
      </c>
      <c r="E41" s="27" t="str">
        <f>MID(Tab_Kandidaten[[#This Row],[Zeitungstext]],5,Tab_Kandidaten[[#This Row],[Länge]]-9)</f>
        <v>Busch, Dieter, Brandschutzbeauftragter</v>
      </c>
      <c r="F41" s="27">
        <f>VALUE(MID(Tab_Kandidaten[[#This Row],[Zeitungstext]],Tab_Kandidaten[[#This Row],[Länge]]-3,4))</f>
        <v>1958</v>
      </c>
      <c r="G41" s="27">
        <f>2020-Tab_Kandidaten[[#This Row],[GebJahr]]</f>
        <v>62</v>
      </c>
      <c r="H41" s="27">
        <f>ROUND(Tab_Kandidaten[[#This Row],[Alter]],-1)</f>
        <v>60</v>
      </c>
      <c r="I41" s="27">
        <f>QUOTIENT(Tab_Kandidaten[[#This Row],[ID]],100)</f>
        <v>1</v>
      </c>
      <c r="J41" s="27">
        <f>MOD(Tab_Kandidaten[[#This Row],[ID]],100)</f>
        <v>39</v>
      </c>
      <c r="K41" s="27">
        <f>Tab_Kandidaten[[#This Row],[Länge]]-LEN(SUBSTITUTE(Tab_Kandidaten[[#This Row],[Zeitungstext]],",",""))</f>
        <v>2</v>
      </c>
    </row>
    <row r="42" spans="2:11" x14ac:dyDescent="0.25">
      <c r="B42" t="s">
        <v>176</v>
      </c>
      <c r="C42">
        <f>LEN(Tab_Kandidaten[[#This Row],[Zeitungstext]])</f>
        <v>32</v>
      </c>
      <c r="D42">
        <f>VALUE(MID(Tab_Kandidaten[[#This Row],[Zeitungstext]],1,3))</f>
        <v>140</v>
      </c>
      <c r="E42" s="27" t="str">
        <f>MID(Tab_Kandidaten[[#This Row],[Zeitungstext]],5,Tab_Kandidaten[[#This Row],[Länge]]-9)</f>
        <v>Rauh, Volker, Bestatter</v>
      </c>
      <c r="F42" s="27">
        <f>VALUE(MID(Tab_Kandidaten[[#This Row],[Zeitungstext]],Tab_Kandidaten[[#This Row],[Länge]]-3,4))</f>
        <v>1961</v>
      </c>
      <c r="G42" s="27">
        <f>2020-Tab_Kandidaten[[#This Row],[GebJahr]]</f>
        <v>59</v>
      </c>
      <c r="H42" s="27">
        <f>ROUND(Tab_Kandidaten[[#This Row],[Alter]],-1)</f>
        <v>60</v>
      </c>
      <c r="I42" s="27">
        <f>QUOTIENT(Tab_Kandidaten[[#This Row],[ID]],100)</f>
        <v>1</v>
      </c>
      <c r="J42" s="27">
        <f>MOD(Tab_Kandidaten[[#This Row],[ID]],100)</f>
        <v>40</v>
      </c>
      <c r="K42" s="27">
        <f>Tab_Kandidaten[[#This Row],[Länge]]-LEN(SUBSTITUTE(Tab_Kandidaten[[#This Row],[Zeitungstext]],",",""))</f>
        <v>2</v>
      </c>
    </row>
    <row r="43" spans="2:11" x14ac:dyDescent="0.25">
      <c r="B43" t="s">
        <v>177</v>
      </c>
      <c r="C43">
        <f>LEN(Tab_Kandidaten[[#This Row],[Zeitungstext]])</f>
        <v>94</v>
      </c>
      <c r="D43">
        <f>VALUE(MID(Tab_Kandidaten[[#This Row],[Zeitungstext]],1,3))</f>
        <v>201</v>
      </c>
      <c r="E43" s="27" t="str">
        <f>MID(Tab_Kandidaten[[#This Row],[Zeitungstext]],5,Tab_Kandidaten[[#This Row],[Länge]]-9)</f>
        <v>Kiehne, Gudrun, Dipl.-Verwaltungswirtin, Berufsberaterin für Menschen mit Behinderung</v>
      </c>
      <c r="F43" s="27">
        <f>VALUE(MID(Tab_Kandidaten[[#This Row],[Zeitungstext]],Tab_Kandidaten[[#This Row],[Länge]]-3,4))</f>
        <v>1956</v>
      </c>
      <c r="G43" s="27">
        <f>2020-Tab_Kandidaten[[#This Row],[GebJahr]]</f>
        <v>64</v>
      </c>
      <c r="H43" s="27">
        <f>ROUND(Tab_Kandidaten[[#This Row],[Alter]],-1)</f>
        <v>60</v>
      </c>
      <c r="I43" s="27">
        <f>QUOTIENT(Tab_Kandidaten[[#This Row],[ID]],100)</f>
        <v>2</v>
      </c>
      <c r="J43" s="27">
        <f>MOD(Tab_Kandidaten[[#This Row],[ID]],100)</f>
        <v>1</v>
      </c>
      <c r="K43" s="27">
        <f>Tab_Kandidaten[[#This Row],[Länge]]-LEN(SUBSTITUTE(Tab_Kandidaten[[#This Row],[Zeitungstext]],",",""))</f>
        <v>3</v>
      </c>
    </row>
    <row r="44" spans="2:11" x14ac:dyDescent="0.25">
      <c r="B44" t="s">
        <v>178</v>
      </c>
      <c r="C44">
        <f>LEN(Tab_Kandidaten[[#This Row],[Zeitungstext]])</f>
        <v>55</v>
      </c>
      <c r="D44">
        <f>VALUE(MID(Tab_Kandidaten[[#This Row],[Zeitungstext]],1,3))</f>
        <v>202</v>
      </c>
      <c r="E44" s="27" t="str">
        <f>MID(Tab_Kandidaten[[#This Row],[Zeitungstext]],5,Tab_Kandidaten[[#This Row],[Länge]]-9)</f>
        <v>Auer, Sebastian, M.A. Umwelt- und Betriebswirt</v>
      </c>
      <c r="F44" s="27">
        <f>VALUE(MID(Tab_Kandidaten[[#This Row],[Zeitungstext]],Tab_Kandidaten[[#This Row],[Länge]]-3,4))</f>
        <v>1982</v>
      </c>
      <c r="G44" s="27">
        <f>2020-Tab_Kandidaten[[#This Row],[GebJahr]]</f>
        <v>38</v>
      </c>
      <c r="H44" s="27">
        <f>ROUND(Tab_Kandidaten[[#This Row],[Alter]],-1)</f>
        <v>40</v>
      </c>
      <c r="I44" s="27">
        <f>QUOTIENT(Tab_Kandidaten[[#This Row],[ID]],100)</f>
        <v>2</v>
      </c>
      <c r="J44" s="27">
        <f>MOD(Tab_Kandidaten[[#This Row],[ID]],100)</f>
        <v>2</v>
      </c>
      <c r="K44" s="27">
        <f>Tab_Kandidaten[[#This Row],[Länge]]-LEN(SUBSTITUTE(Tab_Kandidaten[[#This Row],[Zeitungstext]],",",""))</f>
        <v>2</v>
      </c>
    </row>
    <row r="45" spans="2:11" x14ac:dyDescent="0.25">
      <c r="B45" t="s">
        <v>179</v>
      </c>
      <c r="C45">
        <f>LEN(Tab_Kandidaten[[#This Row],[Zeitungstext]])</f>
        <v>33</v>
      </c>
      <c r="D45">
        <f>VALUE(MID(Tab_Kandidaten[[#This Row],[Zeitungstext]],1,3))</f>
        <v>203</v>
      </c>
      <c r="E45" s="27" t="str">
        <f>MID(Tab_Kandidaten[[#This Row],[Zeitungstext]],5,Tab_Kandidaten[[#This Row],[Länge]]-9)</f>
        <v>Prenzel, Lena, Schülerin</v>
      </c>
      <c r="F45" s="27">
        <f>VALUE(MID(Tab_Kandidaten[[#This Row],[Zeitungstext]],Tab_Kandidaten[[#This Row],[Länge]]-3,4))</f>
        <v>2001</v>
      </c>
      <c r="G45" s="27">
        <f>2020-Tab_Kandidaten[[#This Row],[GebJahr]]</f>
        <v>19</v>
      </c>
      <c r="H45" s="27">
        <f>ROUND(Tab_Kandidaten[[#This Row],[Alter]],-1)</f>
        <v>20</v>
      </c>
      <c r="I45" s="27">
        <f>QUOTIENT(Tab_Kandidaten[[#This Row],[ID]],100)</f>
        <v>2</v>
      </c>
      <c r="J45" s="27">
        <f>MOD(Tab_Kandidaten[[#This Row],[ID]],100)</f>
        <v>3</v>
      </c>
      <c r="K45" s="27">
        <f>Tab_Kandidaten[[#This Row],[Länge]]-LEN(SUBSTITUTE(Tab_Kandidaten[[#This Row],[Zeitungstext]],",",""))</f>
        <v>2</v>
      </c>
    </row>
    <row r="46" spans="2:11" x14ac:dyDescent="0.25">
      <c r="B46" t="s">
        <v>180</v>
      </c>
      <c r="C46">
        <f>LEN(Tab_Kandidaten[[#This Row],[Zeitungstext]])</f>
        <v>48</v>
      </c>
      <c r="D46">
        <f>VALUE(MID(Tab_Kandidaten[[#This Row],[Zeitungstext]],1,3))</f>
        <v>204</v>
      </c>
      <c r="E46" s="27" t="str">
        <f>MID(Tab_Kandidaten[[#This Row],[Zeitungstext]],5,Tab_Kandidaten[[#This Row],[Länge]]-9)</f>
        <v>Dr. Schrader, Klaus, Facharzt, Stadtrat</v>
      </c>
      <c r="F46" s="27">
        <f>VALUE(MID(Tab_Kandidaten[[#This Row],[Zeitungstext]],Tab_Kandidaten[[#This Row],[Länge]]-3,4))</f>
        <v>1955</v>
      </c>
      <c r="G46" s="27">
        <f>2020-Tab_Kandidaten[[#This Row],[GebJahr]]</f>
        <v>65</v>
      </c>
      <c r="H46" s="27">
        <f>ROUND(Tab_Kandidaten[[#This Row],[Alter]],-1)</f>
        <v>70</v>
      </c>
      <c r="I46" s="27">
        <f>QUOTIENT(Tab_Kandidaten[[#This Row],[ID]],100)</f>
        <v>2</v>
      </c>
      <c r="J46" s="27">
        <f>MOD(Tab_Kandidaten[[#This Row],[ID]],100)</f>
        <v>4</v>
      </c>
      <c r="K46" s="27">
        <f>Tab_Kandidaten[[#This Row],[Länge]]-LEN(SUBSTITUTE(Tab_Kandidaten[[#This Row],[Zeitungstext]],",",""))</f>
        <v>3</v>
      </c>
    </row>
    <row r="47" spans="2:11" x14ac:dyDescent="0.25">
      <c r="B47" t="s">
        <v>181</v>
      </c>
      <c r="C47">
        <f>LEN(Tab_Kandidaten[[#This Row],[Zeitungstext]])</f>
        <v>41</v>
      </c>
      <c r="D47">
        <f>VALUE(MID(Tab_Kandidaten[[#This Row],[Zeitungstext]],1,3))</f>
        <v>205</v>
      </c>
      <c r="E47" s="27" t="str">
        <f>MID(Tab_Kandidaten[[#This Row],[Zeitungstext]],5,Tab_Kandidaten[[#This Row],[Länge]]-9)</f>
        <v>Klinger, Marion, Seminarrektorin</v>
      </c>
      <c r="F47" s="27">
        <f>VALUE(MID(Tab_Kandidaten[[#This Row],[Zeitungstext]],Tab_Kandidaten[[#This Row],[Länge]]-3,4))</f>
        <v>1954</v>
      </c>
      <c r="G47" s="27">
        <f>2020-Tab_Kandidaten[[#This Row],[GebJahr]]</f>
        <v>66</v>
      </c>
      <c r="H47" s="27">
        <f>ROUND(Tab_Kandidaten[[#This Row],[Alter]],-1)</f>
        <v>70</v>
      </c>
      <c r="I47" s="27">
        <f>QUOTIENT(Tab_Kandidaten[[#This Row],[ID]],100)</f>
        <v>2</v>
      </c>
      <c r="J47" s="27">
        <f>MOD(Tab_Kandidaten[[#This Row],[ID]],100)</f>
        <v>5</v>
      </c>
      <c r="K47" s="27">
        <f>Tab_Kandidaten[[#This Row],[Länge]]-LEN(SUBSTITUTE(Tab_Kandidaten[[#This Row],[Zeitungstext]],",",""))</f>
        <v>2</v>
      </c>
    </row>
    <row r="48" spans="2:11" x14ac:dyDescent="0.25">
      <c r="B48" t="s">
        <v>182</v>
      </c>
      <c r="C48">
        <f>LEN(Tab_Kandidaten[[#This Row],[Zeitungstext]])</f>
        <v>66</v>
      </c>
      <c r="D48">
        <f>VALUE(MID(Tab_Kandidaten[[#This Row],[Zeitungstext]],1,3))</f>
        <v>206</v>
      </c>
      <c r="E48" s="27" t="str">
        <f>MID(Tab_Kandidaten[[#This Row],[Zeitungstext]],5,Tab_Kandidaten[[#This Row],[Länge]]-9)</f>
        <v>Reusch, Ralf, Dipl.-Betriebswirt (FH) Key Account Manager</v>
      </c>
      <c r="F48" s="27">
        <f>VALUE(MID(Tab_Kandidaten[[#This Row],[Zeitungstext]],Tab_Kandidaten[[#This Row],[Länge]]-3,4))</f>
        <v>1963</v>
      </c>
      <c r="G48" s="27">
        <f>2020-Tab_Kandidaten[[#This Row],[GebJahr]]</f>
        <v>57</v>
      </c>
      <c r="H48" s="27">
        <f>ROUND(Tab_Kandidaten[[#This Row],[Alter]],-1)</f>
        <v>60</v>
      </c>
      <c r="I48" s="27">
        <f>QUOTIENT(Tab_Kandidaten[[#This Row],[ID]],100)</f>
        <v>2</v>
      </c>
      <c r="J48" s="27">
        <f>MOD(Tab_Kandidaten[[#This Row],[ID]],100)</f>
        <v>6</v>
      </c>
      <c r="K48" s="27">
        <f>Tab_Kandidaten[[#This Row],[Länge]]-LEN(SUBSTITUTE(Tab_Kandidaten[[#This Row],[Zeitungstext]],",",""))</f>
        <v>2</v>
      </c>
    </row>
    <row r="49" spans="2:11" x14ac:dyDescent="0.25">
      <c r="B49" t="s">
        <v>183</v>
      </c>
      <c r="C49">
        <f>LEN(Tab_Kandidaten[[#This Row],[Zeitungstext]])</f>
        <v>34</v>
      </c>
      <c r="D49">
        <f>VALUE(MID(Tab_Kandidaten[[#This Row],[Zeitungstext]],1,3))</f>
        <v>207</v>
      </c>
      <c r="E49" s="27" t="str">
        <f>MID(Tab_Kandidaten[[#This Row],[Zeitungstext]],5,Tab_Kandidaten[[#This Row],[Länge]]-9)</f>
        <v>Wagner, Waltraud, Beamtin</v>
      </c>
      <c r="F49" s="27">
        <f>VALUE(MID(Tab_Kandidaten[[#This Row],[Zeitungstext]],Tab_Kandidaten[[#This Row],[Länge]]-3,4))</f>
        <v>1953</v>
      </c>
      <c r="G49" s="27">
        <f>2020-Tab_Kandidaten[[#This Row],[GebJahr]]</f>
        <v>67</v>
      </c>
      <c r="H49" s="27">
        <f>ROUND(Tab_Kandidaten[[#This Row],[Alter]],-1)</f>
        <v>70</v>
      </c>
      <c r="I49" s="27">
        <f>QUOTIENT(Tab_Kandidaten[[#This Row],[ID]],100)</f>
        <v>2</v>
      </c>
      <c r="J49" s="27">
        <f>MOD(Tab_Kandidaten[[#This Row],[ID]],100)</f>
        <v>7</v>
      </c>
      <c r="K49" s="27">
        <f>Tab_Kandidaten[[#This Row],[Länge]]-LEN(SUBSTITUTE(Tab_Kandidaten[[#This Row],[Zeitungstext]],",",""))</f>
        <v>2</v>
      </c>
    </row>
    <row r="50" spans="2:11" x14ac:dyDescent="0.25">
      <c r="B50" t="s">
        <v>184</v>
      </c>
      <c r="C50">
        <f>LEN(Tab_Kandidaten[[#This Row],[Zeitungstext]])</f>
        <v>30</v>
      </c>
      <c r="D50">
        <f>VALUE(MID(Tab_Kandidaten[[#This Row],[Zeitungstext]],1,3))</f>
        <v>208</v>
      </c>
      <c r="E50" s="27" t="str">
        <f>MID(Tab_Kandidaten[[#This Row],[Zeitungstext]],5,Tab_Kandidaten[[#This Row],[Länge]]-9)</f>
        <v>König, Swann, Student</v>
      </c>
      <c r="F50" s="27">
        <f>VALUE(MID(Tab_Kandidaten[[#This Row],[Zeitungstext]],Tab_Kandidaten[[#This Row],[Länge]]-3,4))</f>
        <v>1994</v>
      </c>
      <c r="G50" s="27">
        <f>2020-Tab_Kandidaten[[#This Row],[GebJahr]]</f>
        <v>26</v>
      </c>
      <c r="H50" s="27">
        <f>ROUND(Tab_Kandidaten[[#This Row],[Alter]],-1)</f>
        <v>30</v>
      </c>
      <c r="I50" s="27">
        <f>QUOTIENT(Tab_Kandidaten[[#This Row],[ID]],100)</f>
        <v>2</v>
      </c>
      <c r="J50" s="27">
        <f>MOD(Tab_Kandidaten[[#This Row],[ID]],100)</f>
        <v>8</v>
      </c>
      <c r="K50" s="27">
        <f>Tab_Kandidaten[[#This Row],[Länge]]-LEN(SUBSTITUTE(Tab_Kandidaten[[#This Row],[Zeitungstext]],",",""))</f>
        <v>2</v>
      </c>
    </row>
    <row r="51" spans="2:11" x14ac:dyDescent="0.25">
      <c r="B51" t="s">
        <v>185</v>
      </c>
      <c r="C51">
        <f>LEN(Tab_Kandidaten[[#This Row],[Zeitungstext]])</f>
        <v>50</v>
      </c>
      <c r="D51">
        <f>VALUE(MID(Tab_Kandidaten[[#This Row],[Zeitungstext]],1,3))</f>
        <v>209</v>
      </c>
      <c r="E51" s="27" t="str">
        <f>MID(Tab_Kandidaten[[#This Row],[Zeitungstext]],5,Tab_Kandidaten[[#This Row],[Länge]]-9)</f>
        <v>Prell, Sabine, Dipl.-Sozialpädagogin (FH)</v>
      </c>
      <c r="F51" s="27">
        <f>VALUE(MID(Tab_Kandidaten[[#This Row],[Zeitungstext]],Tab_Kandidaten[[#This Row],[Länge]]-3,4))</f>
        <v>1967</v>
      </c>
      <c r="G51" s="27">
        <f>2020-Tab_Kandidaten[[#This Row],[GebJahr]]</f>
        <v>53</v>
      </c>
      <c r="H51" s="27">
        <f>ROUND(Tab_Kandidaten[[#This Row],[Alter]],-1)</f>
        <v>50</v>
      </c>
      <c r="I51" s="27">
        <f>QUOTIENT(Tab_Kandidaten[[#This Row],[ID]],100)</f>
        <v>2</v>
      </c>
      <c r="J51" s="27">
        <f>MOD(Tab_Kandidaten[[#This Row],[ID]],100)</f>
        <v>9</v>
      </c>
      <c r="K51" s="27">
        <f>Tab_Kandidaten[[#This Row],[Länge]]-LEN(SUBSTITUTE(Tab_Kandidaten[[#This Row],[Zeitungstext]],",",""))</f>
        <v>2</v>
      </c>
    </row>
    <row r="52" spans="2:11" x14ac:dyDescent="0.25">
      <c r="B52" t="s">
        <v>186</v>
      </c>
      <c r="C52">
        <f>LEN(Tab_Kandidaten[[#This Row],[Zeitungstext]])</f>
        <v>39</v>
      </c>
      <c r="D52">
        <f>VALUE(MID(Tab_Kandidaten[[#This Row],[Zeitungstext]],1,3))</f>
        <v>210</v>
      </c>
      <c r="E52" s="27" t="str">
        <f>MID(Tab_Kandidaten[[#This Row],[Zeitungstext]],5,Tab_Kandidaten[[#This Row],[Länge]]-9)</f>
        <v>Kiehne, Walter, Dipl.-Ing.oec.</v>
      </c>
      <c r="F52" s="27">
        <f>VALUE(MID(Tab_Kandidaten[[#This Row],[Zeitungstext]],Tab_Kandidaten[[#This Row],[Länge]]-3,4))</f>
        <v>1960</v>
      </c>
      <c r="G52" s="27">
        <f>2020-Tab_Kandidaten[[#This Row],[GebJahr]]</f>
        <v>60</v>
      </c>
      <c r="H52" s="27">
        <f>ROUND(Tab_Kandidaten[[#This Row],[Alter]],-1)</f>
        <v>60</v>
      </c>
      <c r="I52" s="27">
        <f>QUOTIENT(Tab_Kandidaten[[#This Row],[ID]],100)</f>
        <v>2</v>
      </c>
      <c r="J52" s="27">
        <f>MOD(Tab_Kandidaten[[#This Row],[ID]],100)</f>
        <v>10</v>
      </c>
      <c r="K52" s="27">
        <f>Tab_Kandidaten[[#This Row],[Länge]]-LEN(SUBSTITUTE(Tab_Kandidaten[[#This Row],[Zeitungstext]],",",""))</f>
        <v>2</v>
      </c>
    </row>
    <row r="53" spans="2:11" x14ac:dyDescent="0.25">
      <c r="B53" t="s">
        <v>187</v>
      </c>
      <c r="C53">
        <f>LEN(Tab_Kandidaten[[#This Row],[Zeitungstext]])</f>
        <v>36</v>
      </c>
      <c r="D53">
        <f>VALUE(MID(Tab_Kandidaten[[#This Row],[Zeitungstext]],1,3))</f>
        <v>211</v>
      </c>
      <c r="E53" s="27" t="str">
        <f>MID(Tab_Kandidaten[[#This Row],[Zeitungstext]],5,Tab_Kandidaten[[#This Row],[Länge]]-9)</f>
        <v>Popp, Pia, Krankenschwester</v>
      </c>
      <c r="F53" s="27">
        <f>VALUE(MID(Tab_Kandidaten[[#This Row],[Zeitungstext]],Tab_Kandidaten[[#This Row],[Länge]]-3,4))</f>
        <v>1973</v>
      </c>
      <c r="G53" s="27">
        <f>2020-Tab_Kandidaten[[#This Row],[GebJahr]]</f>
        <v>47</v>
      </c>
      <c r="H53" s="27">
        <f>ROUND(Tab_Kandidaten[[#This Row],[Alter]],-1)</f>
        <v>50</v>
      </c>
      <c r="I53" s="27">
        <f>QUOTIENT(Tab_Kandidaten[[#This Row],[ID]],100)</f>
        <v>2</v>
      </c>
      <c r="J53" s="27">
        <f>MOD(Tab_Kandidaten[[#This Row],[ID]],100)</f>
        <v>11</v>
      </c>
      <c r="K53" s="27">
        <f>Tab_Kandidaten[[#This Row],[Länge]]-LEN(SUBSTITUTE(Tab_Kandidaten[[#This Row],[Zeitungstext]],",",""))</f>
        <v>2</v>
      </c>
    </row>
    <row r="54" spans="2:11" x14ac:dyDescent="0.25">
      <c r="B54" t="s">
        <v>188</v>
      </c>
      <c r="C54">
        <f>LEN(Tab_Kandidaten[[#This Row],[Zeitungstext]])</f>
        <v>78</v>
      </c>
      <c r="D54">
        <f>VALUE(MID(Tab_Kandidaten[[#This Row],[Zeitungstext]],1,3))</f>
        <v>212</v>
      </c>
      <c r="E54" s="27" t="str">
        <f>MID(Tab_Kandidaten[[#This Row],[Zeitungstext]],5,Tab_Kandidaten[[#This Row],[Länge]]-9)</f>
        <v>Dr. Künneth, Andreas, Arbeitsvermittler für Geflüchtete und Migranten</v>
      </c>
      <c r="F54" s="27">
        <f>VALUE(MID(Tab_Kandidaten[[#This Row],[Zeitungstext]],Tab_Kandidaten[[#This Row],[Länge]]-3,4))</f>
        <v>1960</v>
      </c>
      <c r="G54" s="27">
        <f>2020-Tab_Kandidaten[[#This Row],[GebJahr]]</f>
        <v>60</v>
      </c>
      <c r="H54" s="27">
        <f>ROUND(Tab_Kandidaten[[#This Row],[Alter]],-1)</f>
        <v>60</v>
      </c>
      <c r="I54" s="27">
        <f>QUOTIENT(Tab_Kandidaten[[#This Row],[ID]],100)</f>
        <v>2</v>
      </c>
      <c r="J54" s="27">
        <f>MOD(Tab_Kandidaten[[#This Row],[ID]],100)</f>
        <v>12</v>
      </c>
      <c r="K54" s="27">
        <f>Tab_Kandidaten[[#This Row],[Länge]]-LEN(SUBSTITUTE(Tab_Kandidaten[[#This Row],[Zeitungstext]],",",""))</f>
        <v>2</v>
      </c>
    </row>
    <row r="55" spans="2:11" x14ac:dyDescent="0.25">
      <c r="B55" t="s">
        <v>189</v>
      </c>
      <c r="C55">
        <f>LEN(Tab_Kandidaten[[#This Row],[Zeitungstext]])</f>
        <v>32</v>
      </c>
      <c r="D55">
        <f>VALUE(MID(Tab_Kandidaten[[#This Row],[Zeitungstext]],1,3))</f>
        <v>213</v>
      </c>
      <c r="E55" s="27" t="str">
        <f>MID(Tab_Kandidaten[[#This Row],[Zeitungstext]],5,Tab_Kandidaten[[#This Row],[Länge]]-9)</f>
        <v>Dr. Heinz, lnge, Ärztin</v>
      </c>
      <c r="F55" s="27">
        <f>VALUE(MID(Tab_Kandidaten[[#This Row],[Zeitungstext]],Tab_Kandidaten[[#This Row],[Länge]]-3,4))</f>
        <v>1952</v>
      </c>
      <c r="G55" s="27">
        <f>2020-Tab_Kandidaten[[#This Row],[GebJahr]]</f>
        <v>68</v>
      </c>
      <c r="H55" s="27">
        <f>ROUND(Tab_Kandidaten[[#This Row],[Alter]],-1)</f>
        <v>70</v>
      </c>
      <c r="I55" s="27">
        <f>QUOTIENT(Tab_Kandidaten[[#This Row],[ID]],100)</f>
        <v>2</v>
      </c>
      <c r="J55" s="27">
        <f>MOD(Tab_Kandidaten[[#This Row],[ID]],100)</f>
        <v>13</v>
      </c>
      <c r="K55" s="27">
        <f>Tab_Kandidaten[[#This Row],[Länge]]-LEN(SUBSTITUTE(Tab_Kandidaten[[#This Row],[Zeitungstext]],",",""))</f>
        <v>2</v>
      </c>
    </row>
    <row r="56" spans="2:11" x14ac:dyDescent="0.25">
      <c r="B56" t="s">
        <v>190</v>
      </c>
      <c r="C56">
        <f>LEN(Tab_Kandidaten[[#This Row],[Zeitungstext]])</f>
        <v>70</v>
      </c>
      <c r="D56">
        <f>VALUE(MID(Tab_Kandidaten[[#This Row],[Zeitungstext]],1,3))</f>
        <v>214</v>
      </c>
      <c r="E56" s="27" t="str">
        <f>MID(Tab_Kandidaten[[#This Row],[Zeitungstext]],5,Tab_Kandidaten[[#This Row],[Länge]]-9)</f>
        <v>Coler, Jürgen, Dipl.-Soz.päd. (FH) Sozialarbeiter, Supervisor</v>
      </c>
      <c r="F56" s="27">
        <f>VALUE(MID(Tab_Kandidaten[[#This Row],[Zeitungstext]],Tab_Kandidaten[[#This Row],[Länge]]-3,4))</f>
        <v>1962</v>
      </c>
      <c r="G56" s="27">
        <f>2020-Tab_Kandidaten[[#This Row],[GebJahr]]</f>
        <v>58</v>
      </c>
      <c r="H56" s="27">
        <f>ROUND(Tab_Kandidaten[[#This Row],[Alter]],-1)</f>
        <v>60</v>
      </c>
      <c r="I56" s="27">
        <f>QUOTIENT(Tab_Kandidaten[[#This Row],[ID]],100)</f>
        <v>2</v>
      </c>
      <c r="J56" s="27">
        <f>MOD(Tab_Kandidaten[[#This Row],[ID]],100)</f>
        <v>14</v>
      </c>
      <c r="K56" s="27">
        <f>Tab_Kandidaten[[#This Row],[Länge]]-LEN(SUBSTITUTE(Tab_Kandidaten[[#This Row],[Zeitungstext]],",",""))</f>
        <v>3</v>
      </c>
    </row>
    <row r="57" spans="2:11" x14ac:dyDescent="0.25">
      <c r="B57" t="s">
        <v>191</v>
      </c>
      <c r="C57">
        <f>LEN(Tab_Kandidaten[[#This Row],[Zeitungstext]])</f>
        <v>36</v>
      </c>
      <c r="D57">
        <f>VALUE(MID(Tab_Kandidaten[[#This Row],[Zeitungstext]],1,3))</f>
        <v>215</v>
      </c>
      <c r="E57" s="27" t="str">
        <f>MID(Tab_Kandidaten[[#This Row],[Zeitungstext]],5,Tab_Kandidaten[[#This Row],[Länge]]-9)</f>
        <v>Häußinger, Sarah, Studentin</v>
      </c>
      <c r="F57" s="27">
        <f>VALUE(MID(Tab_Kandidaten[[#This Row],[Zeitungstext]],Tab_Kandidaten[[#This Row],[Länge]]-3,4))</f>
        <v>1997</v>
      </c>
      <c r="G57" s="27">
        <f>2020-Tab_Kandidaten[[#This Row],[GebJahr]]</f>
        <v>23</v>
      </c>
      <c r="H57" s="27">
        <f>ROUND(Tab_Kandidaten[[#This Row],[Alter]],-1)</f>
        <v>20</v>
      </c>
      <c r="I57" s="27">
        <f>QUOTIENT(Tab_Kandidaten[[#This Row],[ID]],100)</f>
        <v>2</v>
      </c>
      <c r="J57" s="27">
        <f>MOD(Tab_Kandidaten[[#This Row],[ID]],100)</f>
        <v>15</v>
      </c>
      <c r="K57" s="27">
        <f>Tab_Kandidaten[[#This Row],[Länge]]-LEN(SUBSTITUTE(Tab_Kandidaten[[#This Row],[Zeitungstext]],",",""))</f>
        <v>2</v>
      </c>
    </row>
    <row r="58" spans="2:11" x14ac:dyDescent="0.25">
      <c r="B58" t="s">
        <v>192</v>
      </c>
      <c r="C58">
        <f>LEN(Tab_Kandidaten[[#This Row],[Zeitungstext]])</f>
        <v>41</v>
      </c>
      <c r="D58">
        <f>VALUE(MID(Tab_Kandidaten[[#This Row],[Zeitungstext]],1,3))</f>
        <v>216</v>
      </c>
      <c r="E58" s="27" t="str">
        <f>MID(Tab_Kandidaten[[#This Row],[Zeitungstext]],5,Tab_Kandidaten[[#This Row],[Länge]]-9)</f>
        <v>Dr. Nowak, Martin, Dipl.-Geologe</v>
      </c>
      <c r="F58" s="27">
        <f>VALUE(MID(Tab_Kandidaten[[#This Row],[Zeitungstext]],Tab_Kandidaten[[#This Row],[Länge]]-3,4))</f>
        <v>1983</v>
      </c>
      <c r="G58" s="27">
        <f>2020-Tab_Kandidaten[[#This Row],[GebJahr]]</f>
        <v>37</v>
      </c>
      <c r="H58" s="27">
        <f>ROUND(Tab_Kandidaten[[#This Row],[Alter]],-1)</f>
        <v>40</v>
      </c>
      <c r="I58" s="27">
        <f>QUOTIENT(Tab_Kandidaten[[#This Row],[ID]],100)</f>
        <v>2</v>
      </c>
      <c r="J58" s="27">
        <f>MOD(Tab_Kandidaten[[#This Row],[ID]],100)</f>
        <v>16</v>
      </c>
      <c r="K58" s="27">
        <f>Tab_Kandidaten[[#This Row],[Länge]]-LEN(SUBSTITUTE(Tab_Kandidaten[[#This Row],[Zeitungstext]],",",""))</f>
        <v>2</v>
      </c>
    </row>
    <row r="59" spans="2:11" x14ac:dyDescent="0.25">
      <c r="B59" t="s">
        <v>193</v>
      </c>
      <c r="C59">
        <f>LEN(Tab_Kandidaten[[#This Row],[Zeitungstext]])</f>
        <v>45</v>
      </c>
      <c r="D59">
        <f>VALUE(MID(Tab_Kandidaten[[#This Row],[Zeitungstext]],1,3))</f>
        <v>217</v>
      </c>
      <c r="E59" s="27" t="str">
        <f>MID(Tab_Kandidaten[[#This Row],[Zeitungstext]],5,Tab_Kandidaten[[#This Row],[Länge]]-9)</f>
        <v>Siebert, Ulrike, Rentnerin, Dozentin</v>
      </c>
      <c r="F59" s="27">
        <f>VALUE(MID(Tab_Kandidaten[[#This Row],[Zeitungstext]],Tab_Kandidaten[[#This Row],[Länge]]-3,4))</f>
        <v>1950</v>
      </c>
      <c r="G59" s="27">
        <f>2020-Tab_Kandidaten[[#This Row],[GebJahr]]</f>
        <v>70</v>
      </c>
      <c r="H59" s="27">
        <f>ROUND(Tab_Kandidaten[[#This Row],[Alter]],-1)</f>
        <v>70</v>
      </c>
      <c r="I59" s="27">
        <f>QUOTIENT(Tab_Kandidaten[[#This Row],[ID]],100)</f>
        <v>2</v>
      </c>
      <c r="J59" s="27">
        <f>MOD(Tab_Kandidaten[[#This Row],[ID]],100)</f>
        <v>17</v>
      </c>
      <c r="K59" s="27">
        <f>Tab_Kandidaten[[#This Row],[Länge]]-LEN(SUBSTITUTE(Tab_Kandidaten[[#This Row],[Zeitungstext]],",",""))</f>
        <v>3</v>
      </c>
    </row>
    <row r="60" spans="2:11" x14ac:dyDescent="0.25">
      <c r="B60" t="s">
        <v>194</v>
      </c>
      <c r="C60">
        <f>LEN(Tab_Kandidaten[[#This Row],[Zeitungstext]])</f>
        <v>40</v>
      </c>
      <c r="D60">
        <f>VALUE(MID(Tab_Kandidaten[[#This Row],[Zeitungstext]],1,3))</f>
        <v>218</v>
      </c>
      <c r="E60" s="27" t="str">
        <f>MID(Tab_Kandidaten[[#This Row],[Zeitungstext]],5,Tab_Kandidaten[[#This Row],[Länge]]-9)</f>
        <v>Edelmann, Karlheinz, Fachlehrer</v>
      </c>
      <c r="F60" s="27">
        <f>VALUE(MID(Tab_Kandidaten[[#This Row],[Zeitungstext]],Tab_Kandidaten[[#This Row],[Länge]]-3,4))</f>
        <v>1955</v>
      </c>
      <c r="G60" s="27">
        <f>2020-Tab_Kandidaten[[#This Row],[GebJahr]]</f>
        <v>65</v>
      </c>
      <c r="H60" s="27">
        <f>ROUND(Tab_Kandidaten[[#This Row],[Alter]],-1)</f>
        <v>70</v>
      </c>
      <c r="I60" s="27">
        <f>QUOTIENT(Tab_Kandidaten[[#This Row],[ID]],100)</f>
        <v>2</v>
      </c>
      <c r="J60" s="27">
        <f>MOD(Tab_Kandidaten[[#This Row],[ID]],100)</f>
        <v>18</v>
      </c>
      <c r="K60" s="27">
        <f>Tab_Kandidaten[[#This Row],[Länge]]-LEN(SUBSTITUTE(Tab_Kandidaten[[#This Row],[Zeitungstext]],",",""))</f>
        <v>2</v>
      </c>
    </row>
    <row r="61" spans="2:11" x14ac:dyDescent="0.25">
      <c r="B61" t="s">
        <v>195</v>
      </c>
      <c r="C61">
        <f>LEN(Tab_Kandidaten[[#This Row],[Zeitungstext]])</f>
        <v>47</v>
      </c>
      <c r="D61">
        <f>VALUE(MID(Tab_Kandidaten[[#This Row],[Zeitungstext]],1,3))</f>
        <v>219</v>
      </c>
      <c r="E61" s="27" t="str">
        <f>MID(Tab_Kandidaten[[#This Row],[Zeitungstext]],5,Tab_Kandidaten[[#This Row],[Länge]]-9)</f>
        <v>Edelmann, Angelika, Rektorin, Lehrerin</v>
      </c>
      <c r="F61" s="27">
        <f>VALUE(MID(Tab_Kandidaten[[#This Row],[Zeitungstext]],Tab_Kandidaten[[#This Row],[Länge]]-3,4))</f>
        <v>1956</v>
      </c>
      <c r="G61" s="27">
        <f>2020-Tab_Kandidaten[[#This Row],[GebJahr]]</f>
        <v>64</v>
      </c>
      <c r="H61" s="27">
        <f>ROUND(Tab_Kandidaten[[#This Row],[Alter]],-1)</f>
        <v>60</v>
      </c>
      <c r="I61" s="27">
        <f>QUOTIENT(Tab_Kandidaten[[#This Row],[ID]],100)</f>
        <v>2</v>
      </c>
      <c r="J61" s="27">
        <f>MOD(Tab_Kandidaten[[#This Row],[ID]],100)</f>
        <v>19</v>
      </c>
      <c r="K61" s="27">
        <f>Tab_Kandidaten[[#This Row],[Länge]]-LEN(SUBSTITUTE(Tab_Kandidaten[[#This Row],[Zeitungstext]],",",""))</f>
        <v>3</v>
      </c>
    </row>
    <row r="62" spans="2:11" x14ac:dyDescent="0.25">
      <c r="B62" t="s">
        <v>196</v>
      </c>
      <c r="C62">
        <f>LEN(Tab_Kandidaten[[#This Row],[Zeitungstext]])</f>
        <v>41</v>
      </c>
      <c r="D62">
        <f>VALUE(MID(Tab_Kandidaten[[#This Row],[Zeitungstext]],1,3))</f>
        <v>220</v>
      </c>
      <c r="E62" s="27" t="str">
        <f>MID(Tab_Kandidaten[[#This Row],[Zeitungstext]],5,Tab_Kandidaten[[#This Row],[Länge]]-9)</f>
        <v>Hofmann, Friedrich, Pfarrer i.R.</v>
      </c>
      <c r="F62" s="27">
        <f>VALUE(MID(Tab_Kandidaten[[#This Row],[Zeitungstext]],Tab_Kandidaten[[#This Row],[Länge]]-3,4))</f>
        <v>1934</v>
      </c>
      <c r="G62" s="27">
        <f>2020-Tab_Kandidaten[[#This Row],[GebJahr]]</f>
        <v>86</v>
      </c>
      <c r="H62" s="27">
        <f>ROUND(Tab_Kandidaten[[#This Row],[Alter]],-1)</f>
        <v>90</v>
      </c>
      <c r="I62" s="27">
        <f>QUOTIENT(Tab_Kandidaten[[#This Row],[ID]],100)</f>
        <v>2</v>
      </c>
      <c r="J62" s="27">
        <f>MOD(Tab_Kandidaten[[#This Row],[ID]],100)</f>
        <v>20</v>
      </c>
      <c r="K62" s="27">
        <f>Tab_Kandidaten[[#This Row],[Länge]]-LEN(SUBSTITUTE(Tab_Kandidaten[[#This Row],[Zeitungstext]],",",""))</f>
        <v>2</v>
      </c>
    </row>
    <row r="63" spans="2:11" x14ac:dyDescent="0.25">
      <c r="B63" t="s">
        <v>197</v>
      </c>
      <c r="C63">
        <f>LEN(Tab_Kandidaten[[#This Row],[Zeitungstext]])</f>
        <v>40</v>
      </c>
      <c r="D63">
        <f>VALUE(MID(Tab_Kandidaten[[#This Row],[Zeitungstext]],1,3))</f>
        <v>221</v>
      </c>
      <c r="E63" s="27" t="str">
        <f>MID(Tab_Kandidaten[[#This Row],[Zeitungstext]],5,Tab_Kandidaten[[#This Row],[Länge]]-9)</f>
        <v>Hofmann, Barbara, Atempädagogin</v>
      </c>
      <c r="F63" s="27">
        <f>VALUE(MID(Tab_Kandidaten[[#This Row],[Zeitungstext]],Tab_Kandidaten[[#This Row],[Länge]]-3,4))</f>
        <v>1943</v>
      </c>
      <c r="G63" s="27">
        <f>2020-Tab_Kandidaten[[#This Row],[GebJahr]]</f>
        <v>77</v>
      </c>
      <c r="H63" s="27">
        <f>ROUND(Tab_Kandidaten[[#This Row],[Alter]],-1)</f>
        <v>80</v>
      </c>
      <c r="I63" s="27">
        <f>QUOTIENT(Tab_Kandidaten[[#This Row],[ID]],100)</f>
        <v>2</v>
      </c>
      <c r="J63" s="27">
        <f>MOD(Tab_Kandidaten[[#This Row],[ID]],100)</f>
        <v>21</v>
      </c>
      <c r="K63" s="27">
        <f>Tab_Kandidaten[[#This Row],[Länge]]-LEN(SUBSTITUTE(Tab_Kandidaten[[#This Row],[Zeitungstext]],",",""))</f>
        <v>2</v>
      </c>
    </row>
    <row r="64" spans="2:11" x14ac:dyDescent="0.25">
      <c r="B64" t="s">
        <v>198</v>
      </c>
      <c r="C64">
        <f>LEN(Tab_Kandidaten[[#This Row],[Zeitungstext]])</f>
        <v>43</v>
      </c>
      <c r="D64">
        <f>VALUE(MID(Tab_Kandidaten[[#This Row],[Zeitungstext]],1,3))</f>
        <v>222</v>
      </c>
      <c r="E64" s="27" t="str">
        <f>MID(Tab_Kandidaten[[#This Row],[Zeitungstext]],5,Tab_Kandidaten[[#This Row],[Länge]]-9)</f>
        <v>Kallähne, Rainer, Braumeister i.R.</v>
      </c>
      <c r="F64" s="27">
        <f>VALUE(MID(Tab_Kandidaten[[#This Row],[Zeitungstext]],Tab_Kandidaten[[#This Row],[Länge]]-3,4))</f>
        <v>1943</v>
      </c>
      <c r="G64" s="27">
        <f>2020-Tab_Kandidaten[[#This Row],[GebJahr]]</f>
        <v>77</v>
      </c>
      <c r="H64" s="27">
        <f>ROUND(Tab_Kandidaten[[#This Row],[Alter]],-1)</f>
        <v>80</v>
      </c>
      <c r="I64" s="27">
        <f>QUOTIENT(Tab_Kandidaten[[#This Row],[ID]],100)</f>
        <v>2</v>
      </c>
      <c r="J64" s="27">
        <f>MOD(Tab_Kandidaten[[#This Row],[ID]],100)</f>
        <v>22</v>
      </c>
      <c r="K64" s="27">
        <f>Tab_Kandidaten[[#This Row],[Länge]]-LEN(SUBSTITUTE(Tab_Kandidaten[[#This Row],[Zeitungstext]],",",""))</f>
        <v>2</v>
      </c>
    </row>
    <row r="65" spans="2:11" x14ac:dyDescent="0.25">
      <c r="B65" t="s">
        <v>199</v>
      </c>
      <c r="C65">
        <f>LEN(Tab_Kandidaten[[#This Row],[Zeitungstext]])</f>
        <v>59</v>
      </c>
      <c r="D65">
        <f>VALUE(MID(Tab_Kandidaten[[#This Row],[Zeitungstext]],1,3))</f>
        <v>223</v>
      </c>
      <c r="E65" s="27" t="str">
        <f>MID(Tab_Kandidaten[[#This Row],[Zeitungstext]],5,Tab_Kandidaten[[#This Row],[Länge]]-9)</f>
        <v>Peters, Claire, Dipl.-Kauffrau i.R., Dozentin i.R.</v>
      </c>
      <c r="F65" s="27">
        <f>VALUE(MID(Tab_Kandidaten[[#This Row],[Zeitungstext]],Tab_Kandidaten[[#This Row],[Länge]]-3,4))</f>
        <v>1945</v>
      </c>
      <c r="G65" s="27">
        <f>2020-Tab_Kandidaten[[#This Row],[GebJahr]]</f>
        <v>75</v>
      </c>
      <c r="H65" s="27">
        <f>ROUND(Tab_Kandidaten[[#This Row],[Alter]],-1)</f>
        <v>80</v>
      </c>
      <c r="I65" s="27">
        <f>QUOTIENT(Tab_Kandidaten[[#This Row],[ID]],100)</f>
        <v>2</v>
      </c>
      <c r="J65" s="27">
        <f>MOD(Tab_Kandidaten[[#This Row],[ID]],100)</f>
        <v>23</v>
      </c>
      <c r="K65" s="27">
        <f>Tab_Kandidaten[[#This Row],[Länge]]-LEN(SUBSTITUTE(Tab_Kandidaten[[#This Row],[Zeitungstext]],",",""))</f>
        <v>3</v>
      </c>
    </row>
    <row r="66" spans="2:11" x14ac:dyDescent="0.25">
      <c r="B66" t="s">
        <v>200</v>
      </c>
      <c r="C66">
        <f>LEN(Tab_Kandidaten[[#This Row],[Zeitungstext]])</f>
        <v>43</v>
      </c>
      <c r="D66">
        <f>VALUE(MID(Tab_Kandidaten[[#This Row],[Zeitungstext]],1,3))</f>
        <v>224</v>
      </c>
      <c r="E66" s="27" t="str">
        <f>MID(Tab_Kandidaten[[#This Row],[Zeitungstext]],5,Tab_Kandidaten[[#This Row],[Länge]]-9)</f>
        <v>Herold, Klaus, Dipl.-Soz.päd. (FH)</v>
      </c>
      <c r="F66" s="27">
        <f>VALUE(MID(Tab_Kandidaten[[#This Row],[Zeitungstext]],Tab_Kandidaten[[#This Row],[Länge]]-3,4))</f>
        <v>1959</v>
      </c>
      <c r="G66" s="27">
        <f>2020-Tab_Kandidaten[[#This Row],[GebJahr]]</f>
        <v>61</v>
      </c>
      <c r="H66" s="27">
        <f>ROUND(Tab_Kandidaten[[#This Row],[Alter]],-1)</f>
        <v>60</v>
      </c>
      <c r="I66" s="27">
        <f>QUOTIENT(Tab_Kandidaten[[#This Row],[ID]],100)</f>
        <v>2</v>
      </c>
      <c r="J66" s="27">
        <f>MOD(Tab_Kandidaten[[#This Row],[ID]],100)</f>
        <v>24</v>
      </c>
      <c r="K66" s="27">
        <f>Tab_Kandidaten[[#This Row],[Länge]]-LEN(SUBSTITUTE(Tab_Kandidaten[[#This Row],[Zeitungstext]],",",""))</f>
        <v>2</v>
      </c>
    </row>
    <row r="67" spans="2:11" x14ac:dyDescent="0.25">
      <c r="B67" t="s">
        <v>201</v>
      </c>
      <c r="C67">
        <f>LEN(Tab_Kandidaten[[#This Row],[Zeitungstext]])</f>
        <v>37</v>
      </c>
      <c r="D67">
        <f>VALUE(MID(Tab_Kandidaten[[#This Row],[Zeitungstext]],1,3))</f>
        <v>225</v>
      </c>
      <c r="E67" s="27" t="str">
        <f>MID(Tab_Kandidaten[[#This Row],[Zeitungstext]],5,Tab_Kandidaten[[#This Row],[Länge]]-9)</f>
        <v>Fuchs, Renate, Buchhändlerin</v>
      </c>
      <c r="F67" s="27">
        <f>VALUE(MID(Tab_Kandidaten[[#This Row],[Zeitungstext]],Tab_Kandidaten[[#This Row],[Länge]]-3,4))</f>
        <v>1958</v>
      </c>
      <c r="G67" s="27">
        <f>2020-Tab_Kandidaten[[#This Row],[GebJahr]]</f>
        <v>62</v>
      </c>
      <c r="H67" s="27">
        <f>ROUND(Tab_Kandidaten[[#This Row],[Alter]],-1)</f>
        <v>60</v>
      </c>
      <c r="I67" s="27">
        <f>QUOTIENT(Tab_Kandidaten[[#This Row],[ID]],100)</f>
        <v>2</v>
      </c>
      <c r="J67" s="27">
        <f>MOD(Tab_Kandidaten[[#This Row],[ID]],100)</f>
        <v>25</v>
      </c>
      <c r="K67" s="27">
        <f>Tab_Kandidaten[[#This Row],[Länge]]-LEN(SUBSTITUTE(Tab_Kandidaten[[#This Row],[Zeitungstext]],",",""))</f>
        <v>2</v>
      </c>
    </row>
    <row r="68" spans="2:11" x14ac:dyDescent="0.25">
      <c r="B68" t="s">
        <v>202</v>
      </c>
      <c r="C68">
        <f>LEN(Tab_Kandidaten[[#This Row],[Zeitungstext]])</f>
        <v>41</v>
      </c>
      <c r="D68">
        <f>VALUE(MID(Tab_Kandidaten[[#This Row],[Zeitungstext]],1,3))</f>
        <v>226</v>
      </c>
      <c r="E68" s="27" t="str">
        <f>MID(Tab_Kandidaten[[#This Row],[Zeitungstext]],5,Tab_Kandidaten[[#This Row],[Länge]]-9)</f>
        <v>Herold, Johannes, Auszubildender</v>
      </c>
      <c r="F68" s="27">
        <f>VALUE(MID(Tab_Kandidaten[[#This Row],[Zeitungstext]],Tab_Kandidaten[[#This Row],[Länge]]-3,4))</f>
        <v>1993</v>
      </c>
      <c r="G68" s="27">
        <f>2020-Tab_Kandidaten[[#This Row],[GebJahr]]</f>
        <v>27</v>
      </c>
      <c r="H68" s="27">
        <f>ROUND(Tab_Kandidaten[[#This Row],[Alter]],-1)</f>
        <v>30</v>
      </c>
      <c r="I68" s="27">
        <f>QUOTIENT(Tab_Kandidaten[[#This Row],[ID]],100)</f>
        <v>2</v>
      </c>
      <c r="J68" s="27">
        <f>MOD(Tab_Kandidaten[[#This Row],[ID]],100)</f>
        <v>26</v>
      </c>
      <c r="K68" s="27">
        <f>Tab_Kandidaten[[#This Row],[Länge]]-LEN(SUBSTITUTE(Tab_Kandidaten[[#This Row],[Zeitungstext]],",",""))</f>
        <v>2</v>
      </c>
    </row>
    <row r="69" spans="2:11" x14ac:dyDescent="0.25">
      <c r="B69" t="s">
        <v>203</v>
      </c>
      <c r="C69">
        <f>LEN(Tab_Kandidaten[[#This Row],[Zeitungstext]])</f>
        <v>31</v>
      </c>
      <c r="D69">
        <f>VALUE(MID(Tab_Kandidaten[[#This Row],[Zeitungstext]],1,3))</f>
        <v>227</v>
      </c>
      <c r="E69" s="27" t="str">
        <f>MID(Tab_Kandidaten[[#This Row],[Zeitungstext]],5,Tab_Kandidaten[[#This Row],[Länge]]-9)</f>
        <v>Sahin, Seda, Studentin</v>
      </c>
      <c r="F69" s="27">
        <f>VALUE(MID(Tab_Kandidaten[[#This Row],[Zeitungstext]],Tab_Kandidaten[[#This Row],[Länge]]-3,4))</f>
        <v>1993</v>
      </c>
      <c r="G69" s="27">
        <f>2020-Tab_Kandidaten[[#This Row],[GebJahr]]</f>
        <v>27</v>
      </c>
      <c r="H69" s="27">
        <f>ROUND(Tab_Kandidaten[[#This Row],[Alter]],-1)</f>
        <v>30</v>
      </c>
      <c r="I69" s="27">
        <f>QUOTIENT(Tab_Kandidaten[[#This Row],[ID]],100)</f>
        <v>2</v>
      </c>
      <c r="J69" s="27">
        <f>MOD(Tab_Kandidaten[[#This Row],[ID]],100)</f>
        <v>27</v>
      </c>
      <c r="K69" s="27">
        <f>Tab_Kandidaten[[#This Row],[Länge]]-LEN(SUBSTITUTE(Tab_Kandidaten[[#This Row],[Zeitungstext]],",",""))</f>
        <v>2</v>
      </c>
    </row>
    <row r="70" spans="2:11" x14ac:dyDescent="0.25">
      <c r="B70" t="s">
        <v>204</v>
      </c>
      <c r="C70">
        <f>LEN(Tab_Kandidaten[[#This Row],[Zeitungstext]])</f>
        <v>29</v>
      </c>
      <c r="D70">
        <f>VALUE(MID(Tab_Kandidaten[[#This Row],[Zeitungstext]],1,3))</f>
        <v>228</v>
      </c>
      <c r="E70" s="27" t="str">
        <f>MID(Tab_Kandidaten[[#This Row],[Zeitungstext]],5,Tab_Kandidaten[[#This Row],[Länge]]-9)</f>
        <v>Schötz, Johann, Arzt</v>
      </c>
      <c r="F70" s="27">
        <f>VALUE(MID(Tab_Kandidaten[[#This Row],[Zeitungstext]],Tab_Kandidaten[[#This Row],[Länge]]-3,4))</f>
        <v>1954</v>
      </c>
      <c r="G70" s="27">
        <f>2020-Tab_Kandidaten[[#This Row],[GebJahr]]</f>
        <v>66</v>
      </c>
      <c r="H70" s="27">
        <f>ROUND(Tab_Kandidaten[[#This Row],[Alter]],-1)</f>
        <v>70</v>
      </c>
      <c r="I70" s="27">
        <f>QUOTIENT(Tab_Kandidaten[[#This Row],[ID]],100)</f>
        <v>2</v>
      </c>
      <c r="J70" s="27">
        <f>MOD(Tab_Kandidaten[[#This Row],[ID]],100)</f>
        <v>28</v>
      </c>
      <c r="K70" s="27">
        <f>Tab_Kandidaten[[#This Row],[Länge]]-LEN(SUBSTITUTE(Tab_Kandidaten[[#This Row],[Zeitungstext]],",",""))</f>
        <v>2</v>
      </c>
    </row>
    <row r="71" spans="2:11" x14ac:dyDescent="0.25">
      <c r="B71" t="s">
        <v>205</v>
      </c>
      <c r="C71">
        <f>LEN(Tab_Kandidaten[[#This Row],[Zeitungstext]])</f>
        <v>74</v>
      </c>
      <c r="D71">
        <f>VALUE(MID(Tab_Kandidaten[[#This Row],[Zeitungstext]],1,3))</f>
        <v>229</v>
      </c>
      <c r="E71" s="27" t="str">
        <f>MID(Tab_Kandidaten[[#This Row],[Zeitungstext]],5,Tab_Kandidaten[[#This Row],[Länge]]-9)</f>
        <v>Hampel, Judith, M.A. Lehrkraft fiir Deutsch in Integrationskursen</v>
      </c>
      <c r="F71" s="27">
        <f>VALUE(MID(Tab_Kandidaten[[#This Row],[Zeitungstext]],Tab_Kandidaten[[#This Row],[Länge]]-3,4))</f>
        <v>1981</v>
      </c>
      <c r="G71" s="27">
        <f>2020-Tab_Kandidaten[[#This Row],[GebJahr]]</f>
        <v>39</v>
      </c>
      <c r="H71" s="27">
        <f>ROUND(Tab_Kandidaten[[#This Row],[Alter]],-1)</f>
        <v>40</v>
      </c>
      <c r="I71" s="27">
        <f>QUOTIENT(Tab_Kandidaten[[#This Row],[ID]],100)</f>
        <v>2</v>
      </c>
      <c r="J71" s="27">
        <f>MOD(Tab_Kandidaten[[#This Row],[ID]],100)</f>
        <v>29</v>
      </c>
      <c r="K71" s="27">
        <f>Tab_Kandidaten[[#This Row],[Länge]]-LEN(SUBSTITUTE(Tab_Kandidaten[[#This Row],[Zeitungstext]],",",""))</f>
        <v>2</v>
      </c>
    </row>
    <row r="72" spans="2:11" x14ac:dyDescent="0.25">
      <c r="B72" t="s">
        <v>206</v>
      </c>
      <c r="C72">
        <f>LEN(Tab_Kandidaten[[#This Row],[Zeitungstext]])</f>
        <v>32</v>
      </c>
      <c r="D72">
        <f>VALUE(MID(Tab_Kandidaten[[#This Row],[Zeitungstext]],1,3))</f>
        <v>230</v>
      </c>
      <c r="E72" s="27" t="str">
        <f>MID(Tab_Kandidaten[[#This Row],[Zeitungstext]],5,Tab_Kandidaten[[#This Row],[Länge]]-9)</f>
        <v>Löhner, Rainer, Rentner</v>
      </c>
      <c r="F72" s="27">
        <f>VALUE(MID(Tab_Kandidaten[[#This Row],[Zeitungstext]],Tab_Kandidaten[[#This Row],[Länge]]-3,4))</f>
        <v>1949</v>
      </c>
      <c r="G72" s="27">
        <f>2020-Tab_Kandidaten[[#This Row],[GebJahr]]</f>
        <v>71</v>
      </c>
      <c r="H72" s="27">
        <f>ROUND(Tab_Kandidaten[[#This Row],[Alter]],-1)</f>
        <v>70</v>
      </c>
      <c r="I72" s="27">
        <f>QUOTIENT(Tab_Kandidaten[[#This Row],[ID]],100)</f>
        <v>2</v>
      </c>
      <c r="J72" s="27">
        <f>MOD(Tab_Kandidaten[[#This Row],[ID]],100)</f>
        <v>30</v>
      </c>
      <c r="K72" s="27">
        <f>Tab_Kandidaten[[#This Row],[Länge]]-LEN(SUBSTITUTE(Tab_Kandidaten[[#This Row],[Zeitungstext]],",",""))</f>
        <v>2</v>
      </c>
    </row>
    <row r="73" spans="2:11" x14ac:dyDescent="0.25">
      <c r="B73" t="s">
        <v>207</v>
      </c>
      <c r="C73">
        <f>LEN(Tab_Kandidaten[[#This Row],[Zeitungstext]])</f>
        <v>37</v>
      </c>
      <c r="D73">
        <f>VALUE(MID(Tab_Kandidaten[[#This Row],[Zeitungstext]],1,3))</f>
        <v>231</v>
      </c>
      <c r="E73" s="27" t="str">
        <f>MID(Tab_Kandidaten[[#This Row],[Zeitungstext]],5,Tab_Kandidaten[[#This Row],[Länge]]-9)</f>
        <v>Wörhoff, Simone, Psychologin</v>
      </c>
      <c r="F73" s="27">
        <f>VALUE(MID(Tab_Kandidaten[[#This Row],[Zeitungstext]],Tab_Kandidaten[[#This Row],[Länge]]-3,4))</f>
        <v>1971</v>
      </c>
      <c r="G73" s="27">
        <f>2020-Tab_Kandidaten[[#This Row],[GebJahr]]</f>
        <v>49</v>
      </c>
      <c r="H73" s="27">
        <f>ROUND(Tab_Kandidaten[[#This Row],[Alter]],-1)</f>
        <v>50</v>
      </c>
      <c r="I73" s="27">
        <f>QUOTIENT(Tab_Kandidaten[[#This Row],[ID]],100)</f>
        <v>2</v>
      </c>
      <c r="J73" s="27">
        <f>MOD(Tab_Kandidaten[[#This Row],[ID]],100)</f>
        <v>31</v>
      </c>
      <c r="K73" s="27">
        <f>Tab_Kandidaten[[#This Row],[Länge]]-LEN(SUBSTITUTE(Tab_Kandidaten[[#This Row],[Zeitungstext]],",",""))</f>
        <v>2</v>
      </c>
    </row>
    <row r="74" spans="2:11" x14ac:dyDescent="0.25">
      <c r="B74" t="s">
        <v>208</v>
      </c>
      <c r="C74">
        <f>LEN(Tab_Kandidaten[[#This Row],[Zeitungstext]])</f>
        <v>66</v>
      </c>
      <c r="D74">
        <f>VALUE(MID(Tab_Kandidaten[[#This Row],[Zeitungstext]],1,3))</f>
        <v>232</v>
      </c>
      <c r="E74" s="27" t="str">
        <f>MID(Tab_Kandidaten[[#This Row],[Zeitungstext]],5,Tab_Kandidaten[[#This Row],[Länge]]-9)</f>
        <v>Wolf, Marcus, Dipl.-Ing. (FH) Dipl.-lng. für Kartographie</v>
      </c>
      <c r="F74" s="27">
        <f>VALUE(MID(Tab_Kandidaten[[#This Row],[Zeitungstext]],Tab_Kandidaten[[#This Row],[Länge]]-3,4))</f>
        <v>1983</v>
      </c>
      <c r="G74" s="27">
        <f>2020-Tab_Kandidaten[[#This Row],[GebJahr]]</f>
        <v>37</v>
      </c>
      <c r="H74" s="27">
        <f>ROUND(Tab_Kandidaten[[#This Row],[Alter]],-1)</f>
        <v>40</v>
      </c>
      <c r="I74" s="27">
        <f>QUOTIENT(Tab_Kandidaten[[#This Row],[ID]],100)</f>
        <v>2</v>
      </c>
      <c r="J74" s="27">
        <f>MOD(Tab_Kandidaten[[#This Row],[ID]],100)</f>
        <v>32</v>
      </c>
      <c r="K74" s="27">
        <f>Tab_Kandidaten[[#This Row],[Länge]]-LEN(SUBSTITUTE(Tab_Kandidaten[[#This Row],[Zeitungstext]],",",""))</f>
        <v>2</v>
      </c>
    </row>
    <row r="75" spans="2:11" x14ac:dyDescent="0.25">
      <c r="B75" t="s">
        <v>209</v>
      </c>
      <c r="C75">
        <f>LEN(Tab_Kandidaten[[#This Row],[Zeitungstext]])</f>
        <v>45</v>
      </c>
      <c r="D75">
        <f>VALUE(MID(Tab_Kandidaten[[#This Row],[Zeitungstext]],1,3))</f>
        <v>233</v>
      </c>
      <c r="E75" s="27" t="str">
        <f>MID(Tab_Kandidaten[[#This Row],[Zeitungstext]],5,Tab_Kandidaten[[#This Row],[Länge]]-9)</f>
        <v>Saalfrank, Lisa, Informatikstudentin</v>
      </c>
      <c r="F75" s="27">
        <f>VALUE(MID(Tab_Kandidaten[[#This Row],[Zeitungstext]],Tab_Kandidaten[[#This Row],[Länge]]-3,4))</f>
        <v>1994</v>
      </c>
      <c r="G75" s="27">
        <f>2020-Tab_Kandidaten[[#This Row],[GebJahr]]</f>
        <v>26</v>
      </c>
      <c r="H75" s="27">
        <f>ROUND(Tab_Kandidaten[[#This Row],[Alter]],-1)</f>
        <v>30</v>
      </c>
      <c r="I75" s="27">
        <f>QUOTIENT(Tab_Kandidaten[[#This Row],[ID]],100)</f>
        <v>2</v>
      </c>
      <c r="J75" s="27">
        <f>MOD(Tab_Kandidaten[[#This Row],[ID]],100)</f>
        <v>33</v>
      </c>
      <c r="K75" s="27">
        <f>Tab_Kandidaten[[#This Row],[Länge]]-LEN(SUBSTITUTE(Tab_Kandidaten[[#This Row],[Zeitungstext]],",",""))</f>
        <v>2</v>
      </c>
    </row>
    <row r="76" spans="2:11" x14ac:dyDescent="0.25">
      <c r="B76" t="s">
        <v>210</v>
      </c>
      <c r="C76">
        <f>LEN(Tab_Kandidaten[[#This Row],[Zeitungstext]])</f>
        <v>41</v>
      </c>
      <c r="D76">
        <f>VALUE(MID(Tab_Kandidaten[[#This Row],[Zeitungstext]],1,3))</f>
        <v>234</v>
      </c>
      <c r="E76" s="27" t="str">
        <f>MID(Tab_Kandidaten[[#This Row],[Zeitungstext]],5,Tab_Kandidaten[[#This Row],[Länge]]-9)</f>
        <v>Kampfhenkel, Horst, Angestellter</v>
      </c>
      <c r="F76" s="27">
        <f>VALUE(MID(Tab_Kandidaten[[#This Row],[Zeitungstext]],Tab_Kandidaten[[#This Row],[Länge]]-3,4))</f>
        <v>1968</v>
      </c>
      <c r="G76" s="27">
        <f>2020-Tab_Kandidaten[[#This Row],[GebJahr]]</f>
        <v>52</v>
      </c>
      <c r="H76" s="27">
        <f>ROUND(Tab_Kandidaten[[#This Row],[Alter]],-1)</f>
        <v>50</v>
      </c>
      <c r="I76" s="27">
        <f>QUOTIENT(Tab_Kandidaten[[#This Row],[ID]],100)</f>
        <v>2</v>
      </c>
      <c r="J76" s="27">
        <f>MOD(Tab_Kandidaten[[#This Row],[ID]],100)</f>
        <v>34</v>
      </c>
      <c r="K76" s="27">
        <f>Tab_Kandidaten[[#This Row],[Länge]]-LEN(SUBSTITUTE(Tab_Kandidaten[[#This Row],[Zeitungstext]],",",""))</f>
        <v>2</v>
      </c>
    </row>
    <row r="77" spans="2:11" x14ac:dyDescent="0.25">
      <c r="B77" t="s">
        <v>211</v>
      </c>
      <c r="C77">
        <f>LEN(Tab_Kandidaten[[#This Row],[Zeitungstext]])</f>
        <v>69</v>
      </c>
      <c r="D77">
        <f>VALUE(MID(Tab_Kandidaten[[#This Row],[Zeitungstext]],1,3))</f>
        <v>235</v>
      </c>
      <c r="E77" s="27" t="str">
        <f>MID(Tab_Kandidaten[[#This Row],[Zeitungstext]],5,Tab_Kandidaten[[#This Row],[Länge]]-9)</f>
        <v>Wolf, Susanne, Koordinatorin Internationale Bildungsprojekte</v>
      </c>
      <c r="F77" s="27">
        <f>VALUE(MID(Tab_Kandidaten[[#This Row],[Zeitungstext]],Tab_Kandidaten[[#This Row],[Länge]]-3,4))</f>
        <v>1981</v>
      </c>
      <c r="G77" s="27">
        <f>2020-Tab_Kandidaten[[#This Row],[GebJahr]]</f>
        <v>39</v>
      </c>
      <c r="H77" s="27">
        <f>ROUND(Tab_Kandidaten[[#This Row],[Alter]],-1)</f>
        <v>40</v>
      </c>
      <c r="I77" s="27">
        <f>QUOTIENT(Tab_Kandidaten[[#This Row],[ID]],100)</f>
        <v>2</v>
      </c>
      <c r="J77" s="27">
        <f>MOD(Tab_Kandidaten[[#This Row],[ID]],100)</f>
        <v>35</v>
      </c>
      <c r="K77" s="27">
        <f>Tab_Kandidaten[[#This Row],[Länge]]-LEN(SUBSTITUTE(Tab_Kandidaten[[#This Row],[Zeitungstext]],",",""))</f>
        <v>2</v>
      </c>
    </row>
    <row r="78" spans="2:11" x14ac:dyDescent="0.25">
      <c r="B78" t="s">
        <v>212</v>
      </c>
      <c r="C78">
        <f>LEN(Tab_Kandidaten[[#This Row],[Zeitungstext]])</f>
        <v>39</v>
      </c>
      <c r="D78">
        <f>VALUE(MID(Tab_Kandidaten[[#This Row],[Zeitungstext]],1,3))</f>
        <v>236</v>
      </c>
      <c r="E78" s="27" t="str">
        <f>MID(Tab_Kandidaten[[#This Row],[Zeitungstext]],5,Tab_Kandidaten[[#This Row],[Länge]]-9)</f>
        <v>Brammer, Philipp, Schauspieler</v>
      </c>
      <c r="F78" s="27">
        <f>VALUE(MID(Tab_Kandidaten[[#This Row],[Zeitungstext]],Tab_Kandidaten[[#This Row],[Länge]]-3,4))</f>
        <v>1976</v>
      </c>
      <c r="G78" s="27">
        <f>2020-Tab_Kandidaten[[#This Row],[GebJahr]]</f>
        <v>44</v>
      </c>
      <c r="H78" s="27">
        <f>ROUND(Tab_Kandidaten[[#This Row],[Alter]],-1)</f>
        <v>40</v>
      </c>
      <c r="I78" s="27">
        <f>QUOTIENT(Tab_Kandidaten[[#This Row],[ID]],100)</f>
        <v>2</v>
      </c>
      <c r="J78" s="27">
        <f>MOD(Tab_Kandidaten[[#This Row],[ID]],100)</f>
        <v>36</v>
      </c>
      <c r="K78" s="27">
        <f>Tab_Kandidaten[[#This Row],[Länge]]-LEN(SUBSTITUTE(Tab_Kandidaten[[#This Row],[Zeitungstext]],",",""))</f>
        <v>2</v>
      </c>
    </row>
    <row r="79" spans="2:11" x14ac:dyDescent="0.25">
      <c r="B79" t="s">
        <v>213</v>
      </c>
      <c r="C79">
        <f>LEN(Tab_Kandidaten[[#This Row],[Zeitungstext]])</f>
        <v>43</v>
      </c>
      <c r="D79">
        <f>VALUE(MID(Tab_Kandidaten[[#This Row],[Zeitungstext]],1,3))</f>
        <v>237</v>
      </c>
      <c r="E79" s="27" t="str">
        <f>MID(Tab_Kandidaten[[#This Row],[Zeitungstext]],5,Tab_Kandidaten[[#This Row],[Länge]]-9)</f>
        <v>Mohaupt, Angela, Geschäftsführerin</v>
      </c>
      <c r="F79" s="27">
        <f>VALUE(MID(Tab_Kandidaten[[#This Row],[Zeitungstext]],Tab_Kandidaten[[#This Row],[Länge]]-3,4))</f>
        <v>1967</v>
      </c>
      <c r="G79" s="27">
        <f>2020-Tab_Kandidaten[[#This Row],[GebJahr]]</f>
        <v>53</v>
      </c>
      <c r="H79" s="27">
        <f>ROUND(Tab_Kandidaten[[#This Row],[Alter]],-1)</f>
        <v>50</v>
      </c>
      <c r="I79" s="27">
        <f>QUOTIENT(Tab_Kandidaten[[#This Row],[ID]],100)</f>
        <v>2</v>
      </c>
      <c r="J79" s="27">
        <f>MOD(Tab_Kandidaten[[#This Row],[ID]],100)</f>
        <v>37</v>
      </c>
      <c r="K79" s="27">
        <f>Tab_Kandidaten[[#This Row],[Länge]]-LEN(SUBSTITUTE(Tab_Kandidaten[[#This Row],[Zeitungstext]],",",""))</f>
        <v>2</v>
      </c>
    </row>
    <row r="80" spans="2:11" x14ac:dyDescent="0.25">
      <c r="B80" t="s">
        <v>214</v>
      </c>
      <c r="C80">
        <f>LEN(Tab_Kandidaten[[#This Row],[Zeitungstext]])</f>
        <v>53</v>
      </c>
      <c r="D80">
        <f>VALUE(MID(Tab_Kandidaten[[#This Row],[Zeitungstext]],1,3))</f>
        <v>238</v>
      </c>
      <c r="E80" s="27" t="str">
        <f>MID(Tab_Kandidaten[[#This Row],[Zeitungstext]],5,Tab_Kandidaten[[#This Row],[Länge]]-9)</f>
        <v>Buchberger, Michael, Dipl.-Kaufmann, Berater</v>
      </c>
      <c r="F80" s="27">
        <f>VALUE(MID(Tab_Kandidaten[[#This Row],[Zeitungstext]],Tab_Kandidaten[[#This Row],[Länge]]-3,4))</f>
        <v>1957</v>
      </c>
      <c r="G80" s="27">
        <f>2020-Tab_Kandidaten[[#This Row],[GebJahr]]</f>
        <v>63</v>
      </c>
      <c r="H80" s="27">
        <f>ROUND(Tab_Kandidaten[[#This Row],[Alter]],-1)</f>
        <v>60</v>
      </c>
      <c r="I80" s="27">
        <f>QUOTIENT(Tab_Kandidaten[[#This Row],[ID]],100)</f>
        <v>2</v>
      </c>
      <c r="J80" s="27">
        <f>MOD(Tab_Kandidaten[[#This Row],[ID]],100)</f>
        <v>38</v>
      </c>
      <c r="K80" s="27">
        <f>Tab_Kandidaten[[#This Row],[Länge]]-LEN(SUBSTITUTE(Tab_Kandidaten[[#This Row],[Zeitungstext]],",",""))</f>
        <v>3</v>
      </c>
    </row>
    <row r="81" spans="2:11" x14ac:dyDescent="0.25">
      <c r="B81" t="s">
        <v>215</v>
      </c>
      <c r="C81">
        <f>LEN(Tab_Kandidaten[[#This Row],[Zeitungstext]])</f>
        <v>35</v>
      </c>
      <c r="D81">
        <f>VALUE(MID(Tab_Kandidaten[[#This Row],[Zeitungstext]],1,3))</f>
        <v>239</v>
      </c>
      <c r="E81" s="27" t="str">
        <f>MID(Tab_Kandidaten[[#This Row],[Zeitungstext]],5,Tab_Kandidaten[[#This Row],[Länge]]-9)</f>
        <v>Dr. Mörtl, Martin, Biologe</v>
      </c>
      <c r="F81" s="27">
        <f>VALUE(MID(Tab_Kandidaten[[#This Row],[Zeitungstext]],Tab_Kandidaten[[#This Row],[Länge]]-3,4))</f>
        <v>1971</v>
      </c>
      <c r="G81" s="27">
        <f>2020-Tab_Kandidaten[[#This Row],[GebJahr]]</f>
        <v>49</v>
      </c>
      <c r="H81" s="27">
        <f>ROUND(Tab_Kandidaten[[#This Row],[Alter]],-1)</f>
        <v>50</v>
      </c>
      <c r="I81" s="27">
        <f>QUOTIENT(Tab_Kandidaten[[#This Row],[ID]],100)</f>
        <v>2</v>
      </c>
      <c r="J81" s="27">
        <f>MOD(Tab_Kandidaten[[#This Row],[ID]],100)</f>
        <v>39</v>
      </c>
      <c r="K81" s="27">
        <f>Tab_Kandidaten[[#This Row],[Länge]]-LEN(SUBSTITUTE(Tab_Kandidaten[[#This Row],[Zeitungstext]],",",""))</f>
        <v>2</v>
      </c>
    </row>
    <row r="82" spans="2:11" x14ac:dyDescent="0.25">
      <c r="B82" t="s">
        <v>216</v>
      </c>
      <c r="C82">
        <f>LEN(Tab_Kandidaten[[#This Row],[Zeitungstext]])</f>
        <v>67</v>
      </c>
      <c r="D82">
        <f>VALUE(MID(Tab_Kandidaten[[#This Row],[Zeitungstext]],1,3))</f>
        <v>301</v>
      </c>
      <c r="E82" s="27" t="str">
        <f>MID(Tab_Kandidaten[[#This Row],[Zeitungstext]],5,Tab_Kandidaten[[#This Row],[Länge]]-9)</f>
        <v>Bruns, Gudrun, Dipl.-Ing. (FH), Bauingenieurin, Stadträtin</v>
      </c>
      <c r="F82" s="27">
        <f>VALUE(MID(Tab_Kandidaten[[#This Row],[Zeitungstext]],Tab_Kandidaten[[#This Row],[Länge]]-3,4))</f>
        <v>1958</v>
      </c>
      <c r="G82" s="27">
        <f>2020-Tab_Kandidaten[[#This Row],[GebJahr]]</f>
        <v>62</v>
      </c>
      <c r="H82" s="27">
        <f>ROUND(Tab_Kandidaten[[#This Row],[Alter]],-1)</f>
        <v>60</v>
      </c>
      <c r="I82" s="27">
        <f>QUOTIENT(Tab_Kandidaten[[#This Row],[ID]],100)</f>
        <v>3</v>
      </c>
      <c r="J82" s="27">
        <f>MOD(Tab_Kandidaten[[#This Row],[ID]],100)</f>
        <v>1</v>
      </c>
      <c r="K82" s="27">
        <f>Tab_Kandidaten[[#This Row],[Länge]]-LEN(SUBSTITUTE(Tab_Kandidaten[[#This Row],[Zeitungstext]],",",""))</f>
        <v>4</v>
      </c>
    </row>
    <row r="83" spans="2:11" x14ac:dyDescent="0.25">
      <c r="B83" t="s">
        <v>217</v>
      </c>
      <c r="C83">
        <f>LEN(Tab_Kandidaten[[#This Row],[Zeitungstext]])</f>
        <v>66</v>
      </c>
      <c r="D83">
        <f>VALUE(MID(Tab_Kandidaten[[#This Row],[Zeitungstext]],1,3))</f>
        <v>302</v>
      </c>
      <c r="E83" s="27" t="str">
        <f>MID(Tab_Kandidaten[[#This Row],[Zeitungstext]],5,Tab_Kandidaten[[#This Row],[Länge]]-9)</f>
        <v>Friedrich, Jan, Dipl.-Informatiker univ., Hochschullehrer</v>
      </c>
      <c r="F83" s="27">
        <f>VALUE(MID(Tab_Kandidaten[[#This Row],[Zeitungstext]],Tab_Kandidaten[[#This Row],[Länge]]-3,4))</f>
        <v>1981</v>
      </c>
      <c r="G83" s="27">
        <f>2020-Tab_Kandidaten[[#This Row],[GebJahr]]</f>
        <v>39</v>
      </c>
      <c r="H83" s="27">
        <f>ROUND(Tab_Kandidaten[[#This Row],[Alter]],-1)</f>
        <v>40</v>
      </c>
      <c r="I83" s="27">
        <f>QUOTIENT(Tab_Kandidaten[[#This Row],[ID]],100)</f>
        <v>3</v>
      </c>
      <c r="J83" s="27">
        <f>MOD(Tab_Kandidaten[[#This Row],[ID]],100)</f>
        <v>2</v>
      </c>
      <c r="K83" s="27">
        <f>Tab_Kandidaten[[#This Row],[Länge]]-LEN(SUBSTITUTE(Tab_Kandidaten[[#This Row],[Zeitungstext]],",",""))</f>
        <v>3</v>
      </c>
    </row>
    <row r="84" spans="2:11" x14ac:dyDescent="0.25">
      <c r="B84" t="s">
        <v>218</v>
      </c>
      <c r="C84">
        <f>LEN(Tab_Kandidaten[[#This Row],[Zeitungstext]])</f>
        <v>67</v>
      </c>
      <c r="D84">
        <f>VALUE(MID(Tab_Kandidaten[[#This Row],[Zeitungstext]],1,3))</f>
        <v>303</v>
      </c>
      <c r="E84" s="27" t="str">
        <f>MID(Tab_Kandidaten[[#This Row],[Zeitungstext]],5,Tab_Kandidaten[[#This Row],[Länge]]-9)</f>
        <v>Gruner, Ralf, Dipl.-Betriebswirt (FH), Unternehmensberater</v>
      </c>
      <c r="F84" s="27">
        <f>VALUE(MID(Tab_Kandidaten[[#This Row],[Zeitungstext]],Tab_Kandidaten[[#This Row],[Länge]]-3,4))</f>
        <v>1976</v>
      </c>
      <c r="G84" s="27">
        <f>2020-Tab_Kandidaten[[#This Row],[GebJahr]]</f>
        <v>44</v>
      </c>
      <c r="H84" s="27">
        <f>ROUND(Tab_Kandidaten[[#This Row],[Alter]],-1)</f>
        <v>40</v>
      </c>
      <c r="I84" s="27">
        <f>QUOTIENT(Tab_Kandidaten[[#This Row],[ID]],100)</f>
        <v>3</v>
      </c>
      <c r="J84" s="27">
        <f>MOD(Tab_Kandidaten[[#This Row],[ID]],100)</f>
        <v>3</v>
      </c>
      <c r="K84" s="27">
        <f>Tab_Kandidaten[[#This Row],[Länge]]-LEN(SUBSTITUTE(Tab_Kandidaten[[#This Row],[Zeitungstext]],",",""))</f>
        <v>3</v>
      </c>
    </row>
    <row r="85" spans="2:11" x14ac:dyDescent="0.25">
      <c r="B85" t="s">
        <v>219</v>
      </c>
      <c r="C85">
        <f>LEN(Tab_Kandidaten[[#This Row],[Zeitungstext]])</f>
        <v>52</v>
      </c>
      <c r="D85">
        <f>VALUE(MID(Tab_Kandidaten[[#This Row],[Zeitungstext]],1,3))</f>
        <v>304</v>
      </c>
      <c r="E85" s="27" t="str">
        <f>MID(Tab_Kandidaten[[#This Row],[Zeitungstext]],5,Tab_Kandidaten[[#This Row],[Länge]]-9)</f>
        <v>Fuchs, Heike, Datenbearbeiterin, Stadträtin</v>
      </c>
      <c r="F85" s="27">
        <f>VALUE(MID(Tab_Kandidaten[[#This Row],[Zeitungstext]],Tab_Kandidaten[[#This Row],[Länge]]-3,4))</f>
        <v>1962</v>
      </c>
      <c r="G85" s="27">
        <f>2020-Tab_Kandidaten[[#This Row],[GebJahr]]</f>
        <v>58</v>
      </c>
      <c r="H85" s="27">
        <f>ROUND(Tab_Kandidaten[[#This Row],[Alter]],-1)</f>
        <v>60</v>
      </c>
      <c r="I85" s="27">
        <f>QUOTIENT(Tab_Kandidaten[[#This Row],[ID]],100)</f>
        <v>3</v>
      </c>
      <c r="J85" s="27">
        <f>MOD(Tab_Kandidaten[[#This Row],[ID]],100)</f>
        <v>4</v>
      </c>
      <c r="K85" s="27">
        <f>Tab_Kandidaten[[#This Row],[Länge]]-LEN(SUBSTITUTE(Tab_Kandidaten[[#This Row],[Zeitungstext]],",",""))</f>
        <v>3</v>
      </c>
    </row>
    <row r="86" spans="2:11" x14ac:dyDescent="0.25">
      <c r="B86" t="s">
        <v>220</v>
      </c>
      <c r="C86">
        <f>LEN(Tab_Kandidaten[[#This Row],[Zeitungstext]])</f>
        <v>57</v>
      </c>
      <c r="D86">
        <f>VALUE(MID(Tab_Kandidaten[[#This Row],[Zeitungstext]],1,3))</f>
        <v>305</v>
      </c>
      <c r="E86" s="27" t="str">
        <f>MID(Tab_Kandidaten[[#This Row],[Zeitungstext]],5,Tab_Kandidaten[[#This Row],[Länge]]-9)</f>
        <v>Rambacher, Albert, Oberstudienrat i.R., Stadtrat</v>
      </c>
      <c r="F86" s="27">
        <f>VALUE(MID(Tab_Kandidaten[[#This Row],[Zeitungstext]],Tab_Kandidaten[[#This Row],[Länge]]-3,4))</f>
        <v>1952</v>
      </c>
      <c r="G86" s="27">
        <f>2020-Tab_Kandidaten[[#This Row],[GebJahr]]</f>
        <v>68</v>
      </c>
      <c r="H86" s="27">
        <f>ROUND(Tab_Kandidaten[[#This Row],[Alter]],-1)</f>
        <v>70</v>
      </c>
      <c r="I86" s="27">
        <f>QUOTIENT(Tab_Kandidaten[[#This Row],[ID]],100)</f>
        <v>3</v>
      </c>
      <c r="J86" s="27">
        <f>MOD(Tab_Kandidaten[[#This Row],[ID]],100)</f>
        <v>5</v>
      </c>
      <c r="K86" s="27">
        <f>Tab_Kandidaten[[#This Row],[Länge]]-LEN(SUBSTITUTE(Tab_Kandidaten[[#This Row],[Zeitungstext]],",",""))</f>
        <v>3</v>
      </c>
    </row>
    <row r="87" spans="2:11" x14ac:dyDescent="0.25">
      <c r="B87" t="s">
        <v>221</v>
      </c>
      <c r="C87">
        <f>LEN(Tab_Kandidaten[[#This Row],[Zeitungstext]])</f>
        <v>38</v>
      </c>
      <c r="D87">
        <f>VALUE(MID(Tab_Kandidaten[[#This Row],[Zeitungstext]],1,3))</f>
        <v>306</v>
      </c>
      <c r="E87" s="27" t="str">
        <f>MID(Tab_Kandidaten[[#This Row],[Zeitungstext]],5,Tab_Kandidaten[[#This Row],[Länge]]-9)</f>
        <v>Hübner, Heike, M.A., Kauffrau</v>
      </c>
      <c r="F87" s="27">
        <f>VALUE(MID(Tab_Kandidaten[[#This Row],[Zeitungstext]],Tab_Kandidaten[[#This Row],[Länge]]-3,4))</f>
        <v>1965</v>
      </c>
      <c r="G87" s="27">
        <f>2020-Tab_Kandidaten[[#This Row],[GebJahr]]</f>
        <v>55</v>
      </c>
      <c r="H87" s="27">
        <f>ROUND(Tab_Kandidaten[[#This Row],[Alter]],-1)</f>
        <v>60</v>
      </c>
      <c r="I87" s="27">
        <f>QUOTIENT(Tab_Kandidaten[[#This Row],[ID]],100)</f>
        <v>3</v>
      </c>
      <c r="J87" s="27">
        <f>MOD(Tab_Kandidaten[[#This Row],[ID]],100)</f>
        <v>6</v>
      </c>
      <c r="K87" s="27">
        <f>Tab_Kandidaten[[#This Row],[Länge]]-LEN(SUBSTITUTE(Tab_Kandidaten[[#This Row],[Zeitungstext]],",",""))</f>
        <v>3</v>
      </c>
    </row>
    <row r="88" spans="2:11" x14ac:dyDescent="0.25">
      <c r="B88" t="s">
        <v>222</v>
      </c>
      <c r="C88">
        <f>LEN(Tab_Kandidaten[[#This Row],[Zeitungstext]])</f>
        <v>93</v>
      </c>
      <c r="D88">
        <f>VALUE(MID(Tab_Kandidaten[[#This Row],[Zeitungstext]],1,3))</f>
        <v>307</v>
      </c>
      <c r="E88" s="27" t="str">
        <f>MID(Tab_Kandidaten[[#This Row],[Zeitungstext]],5,Tab_Kandidaten[[#This Row],[Länge]]-9)</f>
        <v>Hübschmann, Michael, Dipl.-Ing. (FH), selbstständiger Versorgungstechniker, Stadtrat</v>
      </c>
      <c r="F88" s="27">
        <f>VALUE(MID(Tab_Kandidaten[[#This Row],[Zeitungstext]],Tab_Kandidaten[[#This Row],[Länge]]-3,4))</f>
        <v>1962</v>
      </c>
      <c r="G88" s="27">
        <f>2020-Tab_Kandidaten[[#This Row],[GebJahr]]</f>
        <v>58</v>
      </c>
      <c r="H88" s="27">
        <f>ROUND(Tab_Kandidaten[[#This Row],[Alter]],-1)</f>
        <v>60</v>
      </c>
      <c r="I88" s="27">
        <f>QUOTIENT(Tab_Kandidaten[[#This Row],[ID]],100)</f>
        <v>3</v>
      </c>
      <c r="J88" s="27">
        <f>MOD(Tab_Kandidaten[[#This Row],[ID]],100)</f>
        <v>7</v>
      </c>
      <c r="K88" s="27">
        <f>Tab_Kandidaten[[#This Row],[Länge]]-LEN(SUBSTITUTE(Tab_Kandidaten[[#This Row],[Zeitungstext]],",",""))</f>
        <v>4</v>
      </c>
    </row>
    <row r="89" spans="2:11" x14ac:dyDescent="0.25">
      <c r="B89" t="s">
        <v>223</v>
      </c>
      <c r="C89">
        <f>LEN(Tab_Kandidaten[[#This Row],[Zeitungstext]])</f>
        <v>48</v>
      </c>
      <c r="D89">
        <f>VALUE(MID(Tab_Kandidaten[[#This Row],[Zeitungstext]],1,3))</f>
        <v>308</v>
      </c>
      <c r="E89" s="27" t="str">
        <f>MID(Tab_Kandidaten[[#This Row],[Zeitungstext]],5,Tab_Kandidaten[[#This Row],[Länge]]-9)</f>
        <v>Lüdtke, Ramona, M.Sc. Geschäftsführerin</v>
      </c>
      <c r="F89" s="27">
        <f>VALUE(MID(Tab_Kandidaten[[#This Row],[Zeitungstext]],Tab_Kandidaten[[#This Row],[Länge]]-3,4))</f>
        <v>1980</v>
      </c>
      <c r="G89" s="27">
        <f>2020-Tab_Kandidaten[[#This Row],[GebJahr]]</f>
        <v>40</v>
      </c>
      <c r="H89" s="27">
        <f>ROUND(Tab_Kandidaten[[#This Row],[Alter]],-1)</f>
        <v>40</v>
      </c>
      <c r="I89" s="27">
        <f>QUOTIENT(Tab_Kandidaten[[#This Row],[ID]],100)</f>
        <v>3</v>
      </c>
      <c r="J89" s="27">
        <f>MOD(Tab_Kandidaten[[#This Row],[ID]],100)</f>
        <v>8</v>
      </c>
      <c r="K89" s="27">
        <f>Tab_Kandidaten[[#This Row],[Länge]]-LEN(SUBSTITUTE(Tab_Kandidaten[[#This Row],[Zeitungstext]],",",""))</f>
        <v>2</v>
      </c>
    </row>
    <row r="90" spans="2:11" x14ac:dyDescent="0.25">
      <c r="B90" t="s">
        <v>224</v>
      </c>
      <c r="C90">
        <f>LEN(Tab_Kandidaten[[#This Row],[Zeitungstext]])</f>
        <v>73</v>
      </c>
      <c r="D90">
        <f>VALUE(MID(Tab_Kandidaten[[#This Row],[Zeitungstext]],1,3))</f>
        <v>309</v>
      </c>
      <c r="E90" s="27" t="str">
        <f>MID(Tab_Kandidaten[[#This Row],[Zeitungstext]],5,Tab_Kandidaten[[#This Row],[Länge]]-9)</f>
        <v>Schinner, Thomas, Dipl.-Ing. (FH), Technischer Regierungsamtsrat</v>
      </c>
      <c r="F90" s="27">
        <f>VALUE(MID(Tab_Kandidaten[[#This Row],[Zeitungstext]],Tab_Kandidaten[[#This Row],[Länge]]-3,4))</f>
        <v>1970</v>
      </c>
      <c r="G90" s="27">
        <f>2020-Tab_Kandidaten[[#This Row],[GebJahr]]</f>
        <v>50</v>
      </c>
      <c r="H90" s="27">
        <f>ROUND(Tab_Kandidaten[[#This Row],[Alter]],-1)</f>
        <v>50</v>
      </c>
      <c r="I90" s="27">
        <f>QUOTIENT(Tab_Kandidaten[[#This Row],[ID]],100)</f>
        <v>3</v>
      </c>
      <c r="J90" s="27">
        <f>MOD(Tab_Kandidaten[[#This Row],[ID]],100)</f>
        <v>9</v>
      </c>
      <c r="K90" s="27">
        <f>Tab_Kandidaten[[#This Row],[Länge]]-LEN(SUBSTITUTE(Tab_Kandidaten[[#This Row],[Zeitungstext]],",",""))</f>
        <v>3</v>
      </c>
    </row>
    <row r="91" spans="2:11" x14ac:dyDescent="0.25">
      <c r="B91" t="s">
        <v>225</v>
      </c>
      <c r="C91">
        <f>LEN(Tab_Kandidaten[[#This Row],[Zeitungstext]])</f>
        <v>46</v>
      </c>
      <c r="D91">
        <f>VALUE(MID(Tab_Kandidaten[[#This Row],[Zeitungstext]],1,3))</f>
        <v>310</v>
      </c>
      <c r="E91" s="27" t="str">
        <f>MID(Tab_Kandidaten[[#This Row],[Zeitungstext]],5,Tab_Kandidaten[[#This Row],[Länge]]-9)</f>
        <v>von Rücker, Jörg, Apotheker, Stadtrat</v>
      </c>
      <c r="F91" s="27">
        <f>VALUE(MID(Tab_Kandidaten[[#This Row],[Zeitungstext]],Tab_Kandidaten[[#This Row],[Länge]]-3,4))</f>
        <v>1971</v>
      </c>
      <c r="G91" s="27">
        <f>2020-Tab_Kandidaten[[#This Row],[GebJahr]]</f>
        <v>49</v>
      </c>
      <c r="H91" s="27">
        <f>ROUND(Tab_Kandidaten[[#This Row],[Alter]],-1)</f>
        <v>50</v>
      </c>
      <c r="I91" s="27">
        <f>QUOTIENT(Tab_Kandidaten[[#This Row],[ID]],100)</f>
        <v>3</v>
      </c>
      <c r="J91" s="27">
        <f>MOD(Tab_Kandidaten[[#This Row],[ID]],100)</f>
        <v>10</v>
      </c>
      <c r="K91" s="27">
        <f>Tab_Kandidaten[[#This Row],[Länge]]-LEN(SUBSTITUTE(Tab_Kandidaten[[#This Row],[Zeitungstext]],",",""))</f>
        <v>3</v>
      </c>
    </row>
    <row r="92" spans="2:11" x14ac:dyDescent="0.25">
      <c r="B92" t="s">
        <v>226</v>
      </c>
      <c r="C92">
        <f>LEN(Tab_Kandidaten[[#This Row],[Zeitungstext]])</f>
        <v>49</v>
      </c>
      <c r="D92">
        <f>VALUE(MID(Tab_Kandidaten[[#This Row],[Zeitungstext]],1,3))</f>
        <v>311</v>
      </c>
      <c r="E92" s="27" t="str">
        <f>MID(Tab_Kandidaten[[#This Row],[Zeitungstext]],5,Tab_Kandidaten[[#This Row],[Länge]]-9)</f>
        <v>Laubmann, Runhild, Fachoberlehrerin i.R.</v>
      </c>
      <c r="F92" s="27">
        <f>VALUE(MID(Tab_Kandidaten[[#This Row],[Zeitungstext]],Tab_Kandidaten[[#This Row],[Länge]]-3,4))</f>
        <v>1944</v>
      </c>
      <c r="G92" s="27">
        <f>2020-Tab_Kandidaten[[#This Row],[GebJahr]]</f>
        <v>76</v>
      </c>
      <c r="H92" s="27">
        <f>ROUND(Tab_Kandidaten[[#This Row],[Alter]],-1)</f>
        <v>80</v>
      </c>
      <c r="I92" s="27">
        <f>QUOTIENT(Tab_Kandidaten[[#This Row],[ID]],100)</f>
        <v>3</v>
      </c>
      <c r="J92" s="27">
        <f>MOD(Tab_Kandidaten[[#This Row],[ID]],100)</f>
        <v>11</v>
      </c>
      <c r="K92" s="27">
        <f>Tab_Kandidaten[[#This Row],[Länge]]-LEN(SUBSTITUTE(Tab_Kandidaten[[#This Row],[Zeitungstext]],",",""))</f>
        <v>2</v>
      </c>
    </row>
    <row r="93" spans="2:11" x14ac:dyDescent="0.25">
      <c r="B93" t="s">
        <v>227</v>
      </c>
      <c r="C93">
        <f>LEN(Tab_Kandidaten[[#This Row],[Zeitungstext]])</f>
        <v>58</v>
      </c>
      <c r="D93">
        <f>VALUE(MID(Tab_Kandidaten[[#This Row],[Zeitungstext]],1,3))</f>
        <v>312</v>
      </c>
      <c r="E93" s="27" t="str">
        <f>MID(Tab_Kandidaten[[#This Row],[Zeitungstext]],5,Tab_Kandidaten[[#This Row],[Länge]]-9)</f>
        <v>Dr. Dietrich, Maximilian, Allgemeinarzt, Stadtrat</v>
      </c>
      <c r="F93" s="27">
        <f>VALUE(MID(Tab_Kandidaten[[#This Row],[Zeitungstext]],Tab_Kandidaten[[#This Row],[Länge]]-3,4))</f>
        <v>1959</v>
      </c>
      <c r="G93" s="27">
        <f>2020-Tab_Kandidaten[[#This Row],[GebJahr]]</f>
        <v>61</v>
      </c>
      <c r="H93" s="27">
        <f>ROUND(Tab_Kandidaten[[#This Row],[Alter]],-1)</f>
        <v>60</v>
      </c>
      <c r="I93" s="27">
        <f>QUOTIENT(Tab_Kandidaten[[#This Row],[ID]],100)</f>
        <v>3</v>
      </c>
      <c r="J93" s="27">
        <f>MOD(Tab_Kandidaten[[#This Row],[ID]],100)</f>
        <v>12</v>
      </c>
      <c r="K93" s="27">
        <f>Tab_Kandidaten[[#This Row],[Länge]]-LEN(SUBSTITUTE(Tab_Kandidaten[[#This Row],[Zeitungstext]],",",""))</f>
        <v>3</v>
      </c>
    </row>
    <row r="94" spans="2:11" x14ac:dyDescent="0.25">
      <c r="B94" t="s">
        <v>228</v>
      </c>
      <c r="C94">
        <f>LEN(Tab_Kandidaten[[#This Row],[Zeitungstext]])</f>
        <v>51</v>
      </c>
      <c r="D94">
        <f>VALUE(MID(Tab_Kandidaten[[#This Row],[Zeitungstext]],1,3))</f>
        <v>313</v>
      </c>
      <c r="E94" s="27" t="str">
        <f>MID(Tab_Kandidaten[[#This Row],[Zeitungstext]],5,Tab_Kandidaten[[#This Row],[Länge]]-9)</f>
        <v>Patzer, Matthias, Technischer Angestellter</v>
      </c>
      <c r="F94" s="27">
        <f>VALUE(MID(Tab_Kandidaten[[#This Row],[Zeitungstext]],Tab_Kandidaten[[#This Row],[Länge]]-3,4))</f>
        <v>1979</v>
      </c>
      <c r="G94" s="27">
        <f>2020-Tab_Kandidaten[[#This Row],[GebJahr]]</f>
        <v>41</v>
      </c>
      <c r="H94" s="27">
        <f>ROUND(Tab_Kandidaten[[#This Row],[Alter]],-1)</f>
        <v>40</v>
      </c>
      <c r="I94" s="27">
        <f>QUOTIENT(Tab_Kandidaten[[#This Row],[ID]],100)</f>
        <v>3</v>
      </c>
      <c r="J94" s="27">
        <f>MOD(Tab_Kandidaten[[#This Row],[ID]],100)</f>
        <v>13</v>
      </c>
      <c r="K94" s="27">
        <f>Tab_Kandidaten[[#This Row],[Länge]]-LEN(SUBSTITUTE(Tab_Kandidaten[[#This Row],[Zeitungstext]],",",""))</f>
        <v>2</v>
      </c>
    </row>
    <row r="95" spans="2:11" x14ac:dyDescent="0.25">
      <c r="B95" t="s">
        <v>229</v>
      </c>
      <c r="C95">
        <f>LEN(Tab_Kandidaten[[#This Row],[Zeitungstext]])</f>
        <v>57</v>
      </c>
      <c r="D95">
        <f>VALUE(MID(Tab_Kandidaten[[#This Row],[Zeitungstext]],1,3))</f>
        <v>314</v>
      </c>
      <c r="E95" s="27" t="str">
        <f>MID(Tab_Kandidaten[[#This Row],[Zeitungstext]],5,Tab_Kandidaten[[#This Row],[Länge]]-9)</f>
        <v>Meringer, Reinhard, Seminarrektor i.R., Stadtrat</v>
      </c>
      <c r="F95" s="27">
        <f>VALUE(MID(Tab_Kandidaten[[#This Row],[Zeitungstext]],Tab_Kandidaten[[#This Row],[Länge]]-3,4))</f>
        <v>1947</v>
      </c>
      <c r="G95" s="27">
        <f>2020-Tab_Kandidaten[[#This Row],[GebJahr]]</f>
        <v>73</v>
      </c>
      <c r="H95" s="27">
        <f>ROUND(Tab_Kandidaten[[#This Row],[Alter]],-1)</f>
        <v>70</v>
      </c>
      <c r="I95" s="27">
        <f>QUOTIENT(Tab_Kandidaten[[#This Row],[ID]],100)</f>
        <v>3</v>
      </c>
      <c r="J95" s="27">
        <f>MOD(Tab_Kandidaten[[#This Row],[ID]],100)</f>
        <v>14</v>
      </c>
      <c r="K95" s="27">
        <f>Tab_Kandidaten[[#This Row],[Länge]]-LEN(SUBSTITUTE(Tab_Kandidaten[[#This Row],[Zeitungstext]],",",""))</f>
        <v>3</v>
      </c>
    </row>
    <row r="96" spans="2:11" x14ac:dyDescent="0.25">
      <c r="B96" t="s">
        <v>230</v>
      </c>
      <c r="C96">
        <f>LEN(Tab_Kandidaten[[#This Row],[Zeitungstext]])</f>
        <v>79</v>
      </c>
      <c r="D96">
        <f>VALUE(MID(Tab_Kandidaten[[#This Row],[Zeitungstext]],1,3))</f>
        <v>315</v>
      </c>
      <c r="E96" s="27" t="str">
        <f>MID(Tab_Kandidaten[[#This Row],[Zeitungstext]],5,Tab_Kandidaten[[#This Row],[Länge]]-9)</f>
        <v>Schott, Thomas, Dipl.-Ing., Dipl.-Wirtschaftsing., Unternehmensberater</v>
      </c>
      <c r="F96" s="27">
        <f>VALUE(MID(Tab_Kandidaten[[#This Row],[Zeitungstext]],Tab_Kandidaten[[#This Row],[Länge]]-3,4))</f>
        <v>1965</v>
      </c>
      <c r="G96" s="27">
        <f>2020-Tab_Kandidaten[[#This Row],[GebJahr]]</f>
        <v>55</v>
      </c>
      <c r="H96" s="27">
        <f>ROUND(Tab_Kandidaten[[#This Row],[Alter]],-1)</f>
        <v>60</v>
      </c>
      <c r="I96" s="27">
        <f>QUOTIENT(Tab_Kandidaten[[#This Row],[ID]],100)</f>
        <v>3</v>
      </c>
      <c r="J96" s="27">
        <f>MOD(Tab_Kandidaten[[#This Row],[ID]],100)</f>
        <v>15</v>
      </c>
      <c r="K96" s="27">
        <f>Tab_Kandidaten[[#This Row],[Länge]]-LEN(SUBSTITUTE(Tab_Kandidaten[[#This Row],[Zeitungstext]],",",""))</f>
        <v>4</v>
      </c>
    </row>
    <row r="97" spans="2:11" x14ac:dyDescent="0.25">
      <c r="B97" t="s">
        <v>231</v>
      </c>
      <c r="C97">
        <f>LEN(Tab_Kandidaten[[#This Row],[Zeitungstext]])</f>
        <v>97</v>
      </c>
      <c r="D97">
        <f>VALUE(MID(Tab_Kandidaten[[#This Row],[Zeitungstext]],1,3))</f>
        <v>316</v>
      </c>
      <c r="E97" s="27" t="str">
        <f>MID(Tab_Kandidaten[[#This Row],[Zeitungstext]],5,Tab_Kandidaten[[#This Row],[Länge]]-9)</f>
        <v>Fränkel, Willi, Dipl.-Verwaltungswirt (FH), Geschäftsführer a.D., Hauptschöffe am LG Hof</v>
      </c>
      <c r="F97" s="27">
        <f>VALUE(MID(Tab_Kandidaten[[#This Row],[Zeitungstext]],Tab_Kandidaten[[#This Row],[Länge]]-3,4))</f>
        <v>1953</v>
      </c>
      <c r="G97" s="27">
        <f>2020-Tab_Kandidaten[[#This Row],[GebJahr]]</f>
        <v>67</v>
      </c>
      <c r="H97" s="27">
        <f>ROUND(Tab_Kandidaten[[#This Row],[Alter]],-1)</f>
        <v>70</v>
      </c>
      <c r="I97" s="27">
        <f>QUOTIENT(Tab_Kandidaten[[#This Row],[ID]],100)</f>
        <v>3</v>
      </c>
      <c r="J97" s="27">
        <f>MOD(Tab_Kandidaten[[#This Row],[ID]],100)</f>
        <v>16</v>
      </c>
      <c r="K97" s="27">
        <f>Tab_Kandidaten[[#This Row],[Länge]]-LEN(SUBSTITUTE(Tab_Kandidaten[[#This Row],[Zeitungstext]],",",""))</f>
        <v>4</v>
      </c>
    </row>
    <row r="98" spans="2:11" x14ac:dyDescent="0.25">
      <c r="B98" t="s">
        <v>232</v>
      </c>
      <c r="C98">
        <f>LEN(Tab_Kandidaten[[#This Row],[Zeitungstext]])</f>
        <v>50</v>
      </c>
      <c r="D98">
        <f>VALUE(MID(Tab_Kandidaten[[#This Row],[Zeitungstext]],1,3))</f>
        <v>317</v>
      </c>
      <c r="E98" s="27" t="str">
        <f>MID(Tab_Kandidaten[[#This Row],[Zeitungstext]],5,Tab_Kandidaten[[#This Row],[Länge]]-9)</f>
        <v>Schwuchow, Jörg, Berufseinstiegsbegleiter</v>
      </c>
      <c r="F98" s="27">
        <f>VALUE(MID(Tab_Kandidaten[[#This Row],[Zeitungstext]],Tab_Kandidaten[[#This Row],[Länge]]-3,4))</f>
        <v>1975</v>
      </c>
      <c r="G98" s="27">
        <f>2020-Tab_Kandidaten[[#This Row],[GebJahr]]</f>
        <v>45</v>
      </c>
      <c r="H98" s="27">
        <f>ROUND(Tab_Kandidaten[[#This Row],[Alter]],-1)</f>
        <v>50</v>
      </c>
      <c r="I98" s="27">
        <f>QUOTIENT(Tab_Kandidaten[[#This Row],[ID]],100)</f>
        <v>3</v>
      </c>
      <c r="J98" s="27">
        <f>MOD(Tab_Kandidaten[[#This Row],[ID]],100)</f>
        <v>17</v>
      </c>
      <c r="K98" s="27">
        <f>Tab_Kandidaten[[#This Row],[Länge]]-LEN(SUBSTITUTE(Tab_Kandidaten[[#This Row],[Zeitungstext]],",",""))</f>
        <v>2</v>
      </c>
    </row>
    <row r="99" spans="2:11" x14ac:dyDescent="0.25">
      <c r="B99" t="s">
        <v>233</v>
      </c>
      <c r="C99">
        <f>LEN(Tab_Kandidaten[[#This Row],[Zeitungstext]])</f>
        <v>57</v>
      </c>
      <c r="D99">
        <f>VALUE(MID(Tab_Kandidaten[[#This Row],[Zeitungstext]],1,3))</f>
        <v>318</v>
      </c>
      <c r="E99" s="27" t="str">
        <f>MID(Tab_Kandidaten[[#This Row],[Zeitungstext]],5,Tab_Kandidaten[[#This Row],[Länge]]-9)</f>
        <v>Perchner, Falco, selbstständiger Physiotherapeut</v>
      </c>
      <c r="F99" s="27">
        <f>VALUE(MID(Tab_Kandidaten[[#This Row],[Zeitungstext]],Tab_Kandidaten[[#This Row],[Länge]]-3,4))</f>
        <v>1975</v>
      </c>
      <c r="G99" s="27">
        <f>2020-Tab_Kandidaten[[#This Row],[GebJahr]]</f>
        <v>45</v>
      </c>
      <c r="H99" s="27">
        <f>ROUND(Tab_Kandidaten[[#This Row],[Alter]],-1)</f>
        <v>50</v>
      </c>
      <c r="I99" s="27">
        <f>QUOTIENT(Tab_Kandidaten[[#This Row],[ID]],100)</f>
        <v>3</v>
      </c>
      <c r="J99" s="27">
        <f>MOD(Tab_Kandidaten[[#This Row],[ID]],100)</f>
        <v>18</v>
      </c>
      <c r="K99" s="27">
        <f>Tab_Kandidaten[[#This Row],[Länge]]-LEN(SUBSTITUTE(Tab_Kandidaten[[#This Row],[Zeitungstext]],",",""))</f>
        <v>2</v>
      </c>
    </row>
    <row r="100" spans="2:11" x14ac:dyDescent="0.25">
      <c r="B100" t="s">
        <v>234</v>
      </c>
      <c r="C100">
        <f>LEN(Tab_Kandidaten[[#This Row],[Zeitungstext]])</f>
        <v>55</v>
      </c>
      <c r="D100">
        <f>VALUE(MID(Tab_Kandidaten[[#This Row],[Zeitungstext]],1,3))</f>
        <v>319</v>
      </c>
      <c r="E100" s="27" t="str">
        <f>MID(Tab_Kandidaten[[#This Row],[Zeitungstext]],5,Tab_Kandidaten[[#This Row],[Länge]]-9)</f>
        <v>Genes, Jeffrey, Mechatroniker für Kältetechnik</v>
      </c>
      <c r="F100" s="27">
        <f>VALUE(MID(Tab_Kandidaten[[#This Row],[Zeitungstext]],Tab_Kandidaten[[#This Row],[Länge]]-3,4))</f>
        <v>1992</v>
      </c>
      <c r="G100" s="27">
        <f>2020-Tab_Kandidaten[[#This Row],[GebJahr]]</f>
        <v>28</v>
      </c>
      <c r="H100" s="27">
        <f>ROUND(Tab_Kandidaten[[#This Row],[Alter]],-1)</f>
        <v>30</v>
      </c>
      <c r="I100" s="27">
        <f>QUOTIENT(Tab_Kandidaten[[#This Row],[ID]],100)</f>
        <v>3</v>
      </c>
      <c r="J100" s="27">
        <f>MOD(Tab_Kandidaten[[#This Row],[ID]],100)</f>
        <v>19</v>
      </c>
      <c r="K100" s="27">
        <f>Tab_Kandidaten[[#This Row],[Länge]]-LEN(SUBSTITUTE(Tab_Kandidaten[[#This Row],[Zeitungstext]],",",""))</f>
        <v>2</v>
      </c>
    </row>
    <row r="101" spans="2:11" x14ac:dyDescent="0.25">
      <c r="B101" t="s">
        <v>235</v>
      </c>
      <c r="C101">
        <f>LEN(Tab_Kandidaten[[#This Row],[Zeitungstext]])</f>
        <v>41</v>
      </c>
      <c r="D101">
        <f>VALUE(MID(Tab_Kandidaten[[#This Row],[Zeitungstext]],1,3))</f>
        <v>320</v>
      </c>
      <c r="E101" s="27" t="str">
        <f>MID(Tab_Kandidaten[[#This Row],[Zeitungstext]],5,Tab_Kandidaten[[#This Row],[Länge]]-9)</f>
        <v>Fink, Udo, LL.M., Berufsbetreuer</v>
      </c>
      <c r="F101" s="27">
        <f>VALUE(MID(Tab_Kandidaten[[#This Row],[Zeitungstext]],Tab_Kandidaten[[#This Row],[Länge]]-3,4))</f>
        <v>1966</v>
      </c>
      <c r="G101" s="27">
        <f>2020-Tab_Kandidaten[[#This Row],[GebJahr]]</f>
        <v>54</v>
      </c>
      <c r="H101" s="27">
        <f>ROUND(Tab_Kandidaten[[#This Row],[Alter]],-1)</f>
        <v>50</v>
      </c>
      <c r="I101" s="27">
        <f>QUOTIENT(Tab_Kandidaten[[#This Row],[ID]],100)</f>
        <v>3</v>
      </c>
      <c r="J101" s="27">
        <f>MOD(Tab_Kandidaten[[#This Row],[ID]],100)</f>
        <v>20</v>
      </c>
      <c r="K101" s="27">
        <f>Tab_Kandidaten[[#This Row],[Länge]]-LEN(SUBSTITUTE(Tab_Kandidaten[[#This Row],[Zeitungstext]],",",""))</f>
        <v>3</v>
      </c>
    </row>
    <row r="102" spans="2:11" x14ac:dyDescent="0.25">
      <c r="B102" t="s">
        <v>236</v>
      </c>
      <c r="C102">
        <f>LEN(Tab_Kandidaten[[#This Row],[Zeitungstext]])</f>
        <v>38</v>
      </c>
      <c r="D102">
        <f>VALUE(MID(Tab_Kandidaten[[#This Row],[Zeitungstext]],1,3))</f>
        <v>321</v>
      </c>
      <c r="E102" s="27" t="str">
        <f>MID(Tab_Kandidaten[[#This Row],[Zeitungstext]],5,Tab_Kandidaten[[#This Row],[Länge]]-9)</f>
        <v>Sonntag, Holger, Förderlehrer</v>
      </c>
      <c r="F102" s="27">
        <f>VALUE(MID(Tab_Kandidaten[[#This Row],[Zeitungstext]],Tab_Kandidaten[[#This Row],[Länge]]-3,4))</f>
        <v>1974</v>
      </c>
      <c r="G102" s="27">
        <f>2020-Tab_Kandidaten[[#This Row],[GebJahr]]</f>
        <v>46</v>
      </c>
      <c r="H102" s="27">
        <f>ROUND(Tab_Kandidaten[[#This Row],[Alter]],-1)</f>
        <v>50</v>
      </c>
      <c r="I102" s="27">
        <f>QUOTIENT(Tab_Kandidaten[[#This Row],[ID]],100)</f>
        <v>3</v>
      </c>
      <c r="J102" s="27">
        <f>MOD(Tab_Kandidaten[[#This Row],[ID]],100)</f>
        <v>21</v>
      </c>
      <c r="K102" s="27">
        <f>Tab_Kandidaten[[#This Row],[Länge]]-LEN(SUBSTITUTE(Tab_Kandidaten[[#This Row],[Zeitungstext]],",",""))</f>
        <v>2</v>
      </c>
    </row>
    <row r="103" spans="2:11" x14ac:dyDescent="0.25">
      <c r="B103" t="s">
        <v>237</v>
      </c>
      <c r="C103">
        <f>LEN(Tab_Kandidaten[[#This Row],[Zeitungstext]])</f>
        <v>59</v>
      </c>
      <c r="D103">
        <f>VALUE(MID(Tab_Kandidaten[[#This Row],[Zeitungstext]],1,3))</f>
        <v>322</v>
      </c>
      <c r="E103" s="27" t="str">
        <f>MID(Tab_Kandidaten[[#This Row],[Zeitungstext]],5,Tab_Kandidaten[[#This Row],[Länge]]-9)</f>
        <v>Bruns, Jörg, Dipl.-Ing. (FH), Werkstooff-Ingenieur</v>
      </c>
      <c r="F103" s="27">
        <f>VALUE(MID(Tab_Kandidaten[[#This Row],[Zeitungstext]],Tab_Kandidaten[[#This Row],[Länge]]-3,4))</f>
        <v>1984</v>
      </c>
      <c r="G103" s="27">
        <f>2020-Tab_Kandidaten[[#This Row],[GebJahr]]</f>
        <v>36</v>
      </c>
      <c r="H103" s="27">
        <f>ROUND(Tab_Kandidaten[[#This Row],[Alter]],-1)</f>
        <v>40</v>
      </c>
      <c r="I103" s="27">
        <f>QUOTIENT(Tab_Kandidaten[[#This Row],[ID]],100)</f>
        <v>3</v>
      </c>
      <c r="J103" s="27">
        <f>MOD(Tab_Kandidaten[[#This Row],[ID]],100)</f>
        <v>22</v>
      </c>
      <c r="K103" s="27">
        <f>Tab_Kandidaten[[#This Row],[Länge]]-LEN(SUBSTITUTE(Tab_Kandidaten[[#This Row],[Zeitungstext]],",",""))</f>
        <v>3</v>
      </c>
    </row>
    <row r="104" spans="2:11" x14ac:dyDescent="0.25">
      <c r="B104" t="s">
        <v>238</v>
      </c>
      <c r="C104">
        <f>LEN(Tab_Kandidaten[[#This Row],[Zeitungstext]])</f>
        <v>49</v>
      </c>
      <c r="D104">
        <f>VALUE(MID(Tab_Kandidaten[[#This Row],[Zeitungstext]],1,3))</f>
        <v>323</v>
      </c>
      <c r="E104" s="27" t="str">
        <f>MID(Tab_Kandidaten[[#This Row],[Zeitungstext]],5,Tab_Kandidaten[[#This Row],[Länge]]-9)</f>
        <v>Neumeyer, Axel, selbstständiger Kaufmann</v>
      </c>
      <c r="F104" s="27">
        <f>VALUE(MID(Tab_Kandidaten[[#This Row],[Zeitungstext]],Tab_Kandidaten[[#This Row],[Länge]]-3,4))</f>
        <v>1966</v>
      </c>
      <c r="G104" s="27">
        <f>2020-Tab_Kandidaten[[#This Row],[GebJahr]]</f>
        <v>54</v>
      </c>
      <c r="H104" s="27">
        <f>ROUND(Tab_Kandidaten[[#This Row],[Alter]],-1)</f>
        <v>50</v>
      </c>
      <c r="I104" s="27">
        <f>QUOTIENT(Tab_Kandidaten[[#This Row],[ID]],100)</f>
        <v>3</v>
      </c>
      <c r="J104" s="27">
        <f>MOD(Tab_Kandidaten[[#This Row],[ID]],100)</f>
        <v>23</v>
      </c>
      <c r="K104" s="27">
        <f>Tab_Kandidaten[[#This Row],[Länge]]-LEN(SUBSTITUTE(Tab_Kandidaten[[#This Row],[Zeitungstext]],",",""))</f>
        <v>2</v>
      </c>
    </row>
    <row r="105" spans="2:11" x14ac:dyDescent="0.25">
      <c r="B105" t="s">
        <v>239</v>
      </c>
      <c r="C105">
        <f>LEN(Tab_Kandidaten[[#This Row],[Zeitungstext]])</f>
        <v>42</v>
      </c>
      <c r="D105">
        <f>VALUE(MID(Tab_Kandidaten[[#This Row],[Zeitungstext]],1,3))</f>
        <v>324</v>
      </c>
      <c r="E105" s="27" t="str">
        <f>MID(Tab_Kandidaten[[#This Row],[Zeitungstext]],5,Tab_Kandidaten[[#This Row],[Länge]]-9)</f>
        <v>Buchka, Martin, Marketing-Manager</v>
      </c>
      <c r="F105" s="27">
        <f>VALUE(MID(Tab_Kandidaten[[#This Row],[Zeitungstext]],Tab_Kandidaten[[#This Row],[Länge]]-3,4))</f>
        <v>1988</v>
      </c>
      <c r="G105" s="27">
        <f>2020-Tab_Kandidaten[[#This Row],[GebJahr]]</f>
        <v>32</v>
      </c>
      <c r="H105" s="27">
        <f>ROUND(Tab_Kandidaten[[#This Row],[Alter]],-1)</f>
        <v>30</v>
      </c>
      <c r="I105" s="27">
        <f>QUOTIENT(Tab_Kandidaten[[#This Row],[ID]],100)</f>
        <v>3</v>
      </c>
      <c r="J105" s="27">
        <f>MOD(Tab_Kandidaten[[#This Row],[ID]],100)</f>
        <v>24</v>
      </c>
      <c r="K105" s="27">
        <f>Tab_Kandidaten[[#This Row],[Länge]]-LEN(SUBSTITUTE(Tab_Kandidaten[[#This Row],[Zeitungstext]],",",""))</f>
        <v>2</v>
      </c>
    </row>
    <row r="106" spans="2:11" x14ac:dyDescent="0.25">
      <c r="B106" t="s">
        <v>240</v>
      </c>
      <c r="C106">
        <f>LEN(Tab_Kandidaten[[#This Row],[Zeitungstext]])</f>
        <v>52</v>
      </c>
      <c r="D106">
        <f>VALUE(MID(Tab_Kandidaten[[#This Row],[Zeitungstext]],1,3))</f>
        <v>325</v>
      </c>
      <c r="E106" s="27" t="str">
        <f>MID(Tab_Kandidaten[[#This Row],[Zeitungstext]],5,Tab_Kandidaten[[#This Row],[Länge]]-9)</f>
        <v>Jacob, Jens, selbstständiger Bauunternehmer</v>
      </c>
      <c r="F106" s="27">
        <f>VALUE(MID(Tab_Kandidaten[[#This Row],[Zeitungstext]],Tab_Kandidaten[[#This Row],[Länge]]-3,4))</f>
        <v>1975</v>
      </c>
      <c r="G106" s="27">
        <f>2020-Tab_Kandidaten[[#This Row],[GebJahr]]</f>
        <v>45</v>
      </c>
      <c r="H106" s="27">
        <f>ROUND(Tab_Kandidaten[[#This Row],[Alter]],-1)</f>
        <v>50</v>
      </c>
      <c r="I106" s="27">
        <f>QUOTIENT(Tab_Kandidaten[[#This Row],[ID]],100)</f>
        <v>3</v>
      </c>
      <c r="J106" s="27">
        <f>MOD(Tab_Kandidaten[[#This Row],[ID]],100)</f>
        <v>25</v>
      </c>
      <c r="K106" s="27">
        <f>Tab_Kandidaten[[#This Row],[Länge]]-LEN(SUBSTITUTE(Tab_Kandidaten[[#This Row],[Zeitungstext]],",",""))</f>
        <v>2</v>
      </c>
    </row>
    <row r="107" spans="2:11" x14ac:dyDescent="0.25">
      <c r="B107" t="s">
        <v>241</v>
      </c>
      <c r="C107">
        <f>LEN(Tab_Kandidaten[[#This Row],[Zeitungstext]])</f>
        <v>46</v>
      </c>
      <c r="D107">
        <f>VALUE(MID(Tab_Kandidaten[[#This Row],[Zeitungstext]],1,3))</f>
        <v>326</v>
      </c>
      <c r="E107" s="27" t="str">
        <f>MID(Tab_Kandidaten[[#This Row],[Zeitungstext]],5,Tab_Kandidaten[[#This Row],[Länge]]-9)</f>
        <v>Hübschmann, Monika, Industriekauffrau</v>
      </c>
      <c r="F107" s="27">
        <f>VALUE(MID(Tab_Kandidaten[[#This Row],[Zeitungstext]],Tab_Kandidaten[[#This Row],[Länge]]-3,4))</f>
        <v>1955</v>
      </c>
      <c r="G107" s="27">
        <f>2020-Tab_Kandidaten[[#This Row],[GebJahr]]</f>
        <v>65</v>
      </c>
      <c r="H107" s="27">
        <f>ROUND(Tab_Kandidaten[[#This Row],[Alter]],-1)</f>
        <v>70</v>
      </c>
      <c r="I107" s="27">
        <f>QUOTIENT(Tab_Kandidaten[[#This Row],[ID]],100)</f>
        <v>3</v>
      </c>
      <c r="J107" s="27">
        <f>MOD(Tab_Kandidaten[[#This Row],[ID]],100)</f>
        <v>26</v>
      </c>
      <c r="K107" s="27">
        <f>Tab_Kandidaten[[#This Row],[Länge]]-LEN(SUBSTITUTE(Tab_Kandidaten[[#This Row],[Zeitungstext]],",",""))</f>
        <v>2</v>
      </c>
    </row>
    <row r="108" spans="2:11" x14ac:dyDescent="0.25">
      <c r="B108" t="s">
        <v>242</v>
      </c>
      <c r="C108">
        <f>LEN(Tab_Kandidaten[[#This Row],[Zeitungstext]])</f>
        <v>42</v>
      </c>
      <c r="D108">
        <f>VALUE(MID(Tab_Kandidaten[[#This Row],[Zeitungstext]],1,3))</f>
        <v>327</v>
      </c>
      <c r="E108" s="27" t="str">
        <f>MID(Tab_Kandidaten[[#This Row],[Zeitungstext]],5,Tab_Kandidaten[[#This Row],[Länge]]-9)</f>
        <v>Klein, Gislind, Studienrätin i.R.</v>
      </c>
      <c r="F108" s="27">
        <f>VALUE(MID(Tab_Kandidaten[[#This Row],[Zeitungstext]],Tab_Kandidaten[[#This Row],[Länge]]-3,4))</f>
        <v>1951</v>
      </c>
      <c r="G108" s="27">
        <f>2020-Tab_Kandidaten[[#This Row],[GebJahr]]</f>
        <v>69</v>
      </c>
      <c r="H108" s="27">
        <f>ROUND(Tab_Kandidaten[[#This Row],[Alter]],-1)</f>
        <v>70</v>
      </c>
      <c r="I108" s="27">
        <f>QUOTIENT(Tab_Kandidaten[[#This Row],[ID]],100)</f>
        <v>3</v>
      </c>
      <c r="J108" s="27">
        <f>MOD(Tab_Kandidaten[[#This Row],[ID]],100)</f>
        <v>27</v>
      </c>
      <c r="K108" s="27">
        <f>Tab_Kandidaten[[#This Row],[Länge]]-LEN(SUBSTITUTE(Tab_Kandidaten[[#This Row],[Zeitungstext]],",",""))</f>
        <v>2</v>
      </c>
    </row>
    <row r="109" spans="2:11" x14ac:dyDescent="0.25">
      <c r="B109" t="s">
        <v>243</v>
      </c>
      <c r="C109">
        <f>LEN(Tab_Kandidaten[[#This Row],[Zeitungstext]])</f>
        <v>52</v>
      </c>
      <c r="D109">
        <f>VALUE(MID(Tab_Kandidaten[[#This Row],[Zeitungstext]],1,3))</f>
        <v>328</v>
      </c>
      <c r="E109" s="27" t="str">
        <f>MID(Tab_Kandidaten[[#This Row],[Zeitungstext]],5,Tab_Kandidaten[[#This Row],[Länge]]-9)</f>
        <v>Klaschka, Herbert, Kfz-Werkstattleiter i.R.</v>
      </c>
      <c r="F109" s="27">
        <f>VALUE(MID(Tab_Kandidaten[[#This Row],[Zeitungstext]],Tab_Kandidaten[[#This Row],[Länge]]-3,4))</f>
        <v>1943</v>
      </c>
      <c r="G109" s="27">
        <f>2020-Tab_Kandidaten[[#This Row],[GebJahr]]</f>
        <v>77</v>
      </c>
      <c r="H109" s="27">
        <f>ROUND(Tab_Kandidaten[[#This Row],[Alter]],-1)</f>
        <v>80</v>
      </c>
      <c r="I109" s="27">
        <f>QUOTIENT(Tab_Kandidaten[[#This Row],[ID]],100)</f>
        <v>3</v>
      </c>
      <c r="J109" s="27">
        <f>MOD(Tab_Kandidaten[[#This Row],[ID]],100)</f>
        <v>28</v>
      </c>
      <c r="K109" s="27">
        <f>Tab_Kandidaten[[#This Row],[Länge]]-LEN(SUBSTITUTE(Tab_Kandidaten[[#This Row],[Zeitungstext]],",",""))</f>
        <v>2</v>
      </c>
    </row>
    <row r="110" spans="2:11" x14ac:dyDescent="0.25">
      <c r="B110" t="s">
        <v>244</v>
      </c>
      <c r="C110">
        <f>LEN(Tab_Kandidaten[[#This Row],[Zeitungstext]])</f>
        <v>36</v>
      </c>
      <c r="D110">
        <f>VALUE(MID(Tab_Kandidaten[[#This Row],[Zeitungstext]],1,3))</f>
        <v>329</v>
      </c>
      <c r="E110" s="27" t="str">
        <f>MID(Tab_Kandidaten[[#This Row],[Zeitungstext]],5,Tab_Kandidaten[[#This Row],[Länge]]-9)</f>
        <v>Leipold, Domenik, Verkäufer</v>
      </c>
      <c r="F110" s="27">
        <f>VALUE(MID(Tab_Kandidaten[[#This Row],[Zeitungstext]],Tab_Kandidaten[[#This Row],[Länge]]-3,4))</f>
        <v>1995</v>
      </c>
      <c r="G110" s="27">
        <f>2020-Tab_Kandidaten[[#This Row],[GebJahr]]</f>
        <v>25</v>
      </c>
      <c r="H110" s="27">
        <f>ROUND(Tab_Kandidaten[[#This Row],[Alter]],-1)</f>
        <v>30</v>
      </c>
      <c r="I110" s="27">
        <f>QUOTIENT(Tab_Kandidaten[[#This Row],[ID]],100)</f>
        <v>3</v>
      </c>
      <c r="J110" s="27">
        <f>MOD(Tab_Kandidaten[[#This Row],[ID]],100)</f>
        <v>29</v>
      </c>
      <c r="K110" s="27">
        <f>Tab_Kandidaten[[#This Row],[Länge]]-LEN(SUBSTITUTE(Tab_Kandidaten[[#This Row],[Zeitungstext]],",",""))</f>
        <v>2</v>
      </c>
    </row>
    <row r="111" spans="2:11" x14ac:dyDescent="0.25">
      <c r="B111" t="s">
        <v>245</v>
      </c>
      <c r="C111">
        <f>LEN(Tab_Kandidaten[[#This Row],[Zeitungstext]])</f>
        <v>40</v>
      </c>
      <c r="D111">
        <f>VALUE(MID(Tab_Kandidaten[[#This Row],[Zeitungstext]],1,3))</f>
        <v>330</v>
      </c>
      <c r="E111" s="27" t="str">
        <f>MID(Tab_Kandidaten[[#This Row],[Zeitungstext]],5,Tab_Kandidaten[[#This Row],[Länge]]-9)</f>
        <v>Wunderer, Hermann, Rechtsanwalt</v>
      </c>
      <c r="F111" s="27">
        <f>VALUE(MID(Tab_Kandidaten[[#This Row],[Zeitungstext]],Tab_Kandidaten[[#This Row],[Länge]]-3,4))</f>
        <v>1962</v>
      </c>
      <c r="G111" s="27">
        <f>2020-Tab_Kandidaten[[#This Row],[GebJahr]]</f>
        <v>58</v>
      </c>
      <c r="H111" s="27">
        <f>ROUND(Tab_Kandidaten[[#This Row],[Alter]],-1)</f>
        <v>60</v>
      </c>
      <c r="I111" s="27">
        <f>QUOTIENT(Tab_Kandidaten[[#This Row],[ID]],100)</f>
        <v>3</v>
      </c>
      <c r="J111" s="27">
        <f>MOD(Tab_Kandidaten[[#This Row],[ID]],100)</f>
        <v>30</v>
      </c>
      <c r="K111" s="27">
        <f>Tab_Kandidaten[[#This Row],[Länge]]-LEN(SUBSTITUTE(Tab_Kandidaten[[#This Row],[Zeitungstext]],",",""))</f>
        <v>2</v>
      </c>
    </row>
    <row r="112" spans="2:11" x14ac:dyDescent="0.25">
      <c r="B112" t="s">
        <v>246</v>
      </c>
      <c r="C112">
        <f>LEN(Tab_Kandidaten[[#This Row],[Zeitungstext]])</f>
        <v>57</v>
      </c>
      <c r="D112">
        <f>VALUE(MID(Tab_Kandidaten[[#This Row],[Zeitungstext]],1,3))</f>
        <v>331</v>
      </c>
      <c r="E112" s="27" t="str">
        <f>MID(Tab_Kandidaten[[#This Row],[Zeitungstext]],5,Tab_Kandidaten[[#This Row],[Länge]]-9)</f>
        <v>Nelkel, Volkhard, selbstständiger Change Manager</v>
      </c>
      <c r="F112" s="27">
        <f>VALUE(MID(Tab_Kandidaten[[#This Row],[Zeitungstext]],Tab_Kandidaten[[#This Row],[Länge]]-3,4))</f>
        <v>1956</v>
      </c>
      <c r="G112" s="27">
        <f>2020-Tab_Kandidaten[[#This Row],[GebJahr]]</f>
        <v>64</v>
      </c>
      <c r="H112" s="27">
        <f>ROUND(Tab_Kandidaten[[#This Row],[Alter]],-1)</f>
        <v>60</v>
      </c>
      <c r="I112" s="27">
        <f>QUOTIENT(Tab_Kandidaten[[#This Row],[ID]],100)</f>
        <v>3</v>
      </c>
      <c r="J112" s="27">
        <f>MOD(Tab_Kandidaten[[#This Row],[ID]],100)</f>
        <v>31</v>
      </c>
      <c r="K112" s="27">
        <f>Tab_Kandidaten[[#This Row],[Länge]]-LEN(SUBSTITUTE(Tab_Kandidaten[[#This Row],[Zeitungstext]],",",""))</f>
        <v>2</v>
      </c>
    </row>
    <row r="113" spans="2:11" x14ac:dyDescent="0.25">
      <c r="B113" t="s">
        <v>247</v>
      </c>
      <c r="C113">
        <f>LEN(Tab_Kandidaten[[#This Row],[Zeitungstext]])</f>
        <v>39</v>
      </c>
      <c r="D113">
        <f>VALUE(MID(Tab_Kandidaten[[#This Row],[Zeitungstext]],1,3))</f>
        <v>332</v>
      </c>
      <c r="E113" s="27" t="str">
        <f>MID(Tab_Kandidaten[[#This Row],[Zeitungstext]],5,Tab_Kandidaten[[#This Row],[Länge]]-9)</f>
        <v>Scherdel, Bärbel, Bankkauffrau</v>
      </c>
      <c r="F113" s="27">
        <f>VALUE(MID(Tab_Kandidaten[[#This Row],[Zeitungstext]],Tab_Kandidaten[[#This Row],[Länge]]-3,4))</f>
        <v>1966</v>
      </c>
      <c r="G113" s="27">
        <f>2020-Tab_Kandidaten[[#This Row],[GebJahr]]</f>
        <v>54</v>
      </c>
      <c r="H113" s="27">
        <f>ROUND(Tab_Kandidaten[[#This Row],[Alter]],-1)</f>
        <v>50</v>
      </c>
      <c r="I113" s="27">
        <f>QUOTIENT(Tab_Kandidaten[[#This Row],[ID]],100)</f>
        <v>3</v>
      </c>
      <c r="J113" s="27">
        <f>MOD(Tab_Kandidaten[[#This Row],[ID]],100)</f>
        <v>32</v>
      </c>
      <c r="K113" s="27">
        <f>Tab_Kandidaten[[#This Row],[Länge]]-LEN(SUBSTITUTE(Tab_Kandidaten[[#This Row],[Zeitungstext]],",",""))</f>
        <v>2</v>
      </c>
    </row>
    <row r="114" spans="2:11" x14ac:dyDescent="0.25">
      <c r="B114" t="s">
        <v>248</v>
      </c>
      <c r="C114">
        <f>LEN(Tab_Kandidaten[[#This Row],[Zeitungstext]])</f>
        <v>71</v>
      </c>
      <c r="D114">
        <f>VALUE(MID(Tab_Kandidaten[[#This Row],[Zeitungstext]],1,3))</f>
        <v>333</v>
      </c>
      <c r="E114" s="27" t="str">
        <f>MID(Tab_Kandidaten[[#This Row],[Zeitungstext]],5,Tab_Kandidaten[[#This Row],[Länge]]-9)</f>
        <v>Wiemann, Heinz, Dipl.-Finanzwirt (FH), Regierungsdirektor i.R.</v>
      </c>
      <c r="F114" s="27">
        <f>VALUE(MID(Tab_Kandidaten[[#This Row],[Zeitungstext]],Tab_Kandidaten[[#This Row],[Länge]]-3,4))</f>
        <v>1941</v>
      </c>
      <c r="G114" s="27">
        <f>2020-Tab_Kandidaten[[#This Row],[GebJahr]]</f>
        <v>79</v>
      </c>
      <c r="H114" s="27">
        <f>ROUND(Tab_Kandidaten[[#This Row],[Alter]],-1)</f>
        <v>80</v>
      </c>
      <c r="I114" s="27">
        <f>QUOTIENT(Tab_Kandidaten[[#This Row],[ID]],100)</f>
        <v>3</v>
      </c>
      <c r="J114" s="27">
        <f>MOD(Tab_Kandidaten[[#This Row],[ID]],100)</f>
        <v>33</v>
      </c>
      <c r="K114" s="27">
        <f>Tab_Kandidaten[[#This Row],[Länge]]-LEN(SUBSTITUTE(Tab_Kandidaten[[#This Row],[Zeitungstext]],",",""))</f>
        <v>3</v>
      </c>
    </row>
    <row r="115" spans="2:11" x14ac:dyDescent="0.25">
      <c r="B115" t="s">
        <v>249</v>
      </c>
      <c r="C115">
        <f>LEN(Tab_Kandidaten[[#This Row],[Zeitungstext]])</f>
        <v>39</v>
      </c>
      <c r="D115">
        <f>VALUE(MID(Tab_Kandidaten[[#This Row],[Zeitungstext]],1,3))</f>
        <v>334</v>
      </c>
      <c r="E115" s="27" t="str">
        <f>MID(Tab_Kandidaten[[#This Row],[Zeitungstext]],5,Tab_Kandidaten[[#This Row],[Länge]]-9)</f>
        <v>Auffhammer, Christian, Rentner</v>
      </c>
      <c r="F115" s="27">
        <f>VALUE(MID(Tab_Kandidaten[[#This Row],[Zeitungstext]],Tab_Kandidaten[[#This Row],[Länge]]-3,4))</f>
        <v>1943</v>
      </c>
      <c r="G115" s="27">
        <f>2020-Tab_Kandidaten[[#This Row],[GebJahr]]</f>
        <v>77</v>
      </c>
      <c r="H115" s="27">
        <f>ROUND(Tab_Kandidaten[[#This Row],[Alter]],-1)</f>
        <v>80</v>
      </c>
      <c r="I115" s="27">
        <f>QUOTIENT(Tab_Kandidaten[[#This Row],[ID]],100)</f>
        <v>3</v>
      </c>
      <c r="J115" s="27">
        <f>MOD(Tab_Kandidaten[[#This Row],[ID]],100)</f>
        <v>34</v>
      </c>
      <c r="K115" s="27">
        <f>Tab_Kandidaten[[#This Row],[Länge]]-LEN(SUBSTITUTE(Tab_Kandidaten[[#This Row],[Zeitungstext]],",",""))</f>
        <v>2</v>
      </c>
    </row>
    <row r="116" spans="2:11" x14ac:dyDescent="0.25">
      <c r="B116" t="s">
        <v>127</v>
      </c>
      <c r="C116">
        <f>LEN(Tab_Kandidaten[[#This Row],[Zeitungstext]])</f>
        <v>42</v>
      </c>
      <c r="D116">
        <f>VALUE(MID(Tab_Kandidaten[[#This Row],[Zeitungstext]],1,3))</f>
        <v>401</v>
      </c>
      <c r="E116" s="27" t="str">
        <f>MID(Tab_Kandidaten[[#This Row],[Zeitungstext]],5,Tab_Kandidaten[[#This Row],[Länge]]-9)</f>
        <v>Heimerl, David, Automobilkaufmann</v>
      </c>
      <c r="F116" s="27">
        <f>VALUE(MID(Tab_Kandidaten[[#This Row],[Zeitungstext]],Tab_Kandidaten[[#This Row],[Länge]]-3,4))</f>
        <v>1995</v>
      </c>
      <c r="G116" s="27">
        <f>2020-Tab_Kandidaten[[#This Row],[GebJahr]]</f>
        <v>25</v>
      </c>
      <c r="H116" s="27">
        <f>ROUND(Tab_Kandidaten[[#This Row],[Alter]],-1)</f>
        <v>30</v>
      </c>
      <c r="I116" s="27">
        <f>QUOTIENT(Tab_Kandidaten[[#This Row],[ID]],100)</f>
        <v>4</v>
      </c>
      <c r="J116" s="27">
        <f>MOD(Tab_Kandidaten[[#This Row],[ID]],100)</f>
        <v>1</v>
      </c>
      <c r="K116" s="27">
        <f>Tab_Kandidaten[[#This Row],[Länge]]-LEN(SUBSTITUTE(Tab_Kandidaten[[#This Row],[Zeitungstext]],",",""))</f>
        <v>2</v>
      </c>
    </row>
    <row r="117" spans="2:11" x14ac:dyDescent="0.25">
      <c r="B117" t="s">
        <v>128</v>
      </c>
      <c r="C117">
        <f>LEN(Tab_Kandidaten[[#This Row],[Zeitungstext]])</f>
        <v>50</v>
      </c>
      <c r="D117">
        <f>VALUE(MID(Tab_Kandidaten[[#This Row],[Zeitungstext]],1,3))</f>
        <v>402</v>
      </c>
      <c r="E117" s="27" t="str">
        <f>MID(Tab_Kandidaten[[#This Row],[Zeitungstext]],5,Tab_Kandidaten[[#This Row],[Länge]]-9)</f>
        <v>Haller, Maximillian, Verfahrensmechaniker</v>
      </c>
      <c r="F117" s="27">
        <f>VALUE(MID(Tab_Kandidaten[[#This Row],[Zeitungstext]],Tab_Kandidaten[[#This Row],[Länge]]-3,4))</f>
        <v>1990</v>
      </c>
      <c r="G117" s="27">
        <f>2020-Tab_Kandidaten[[#This Row],[GebJahr]]</f>
        <v>30</v>
      </c>
      <c r="H117" s="27">
        <f>ROUND(Tab_Kandidaten[[#This Row],[Alter]],-1)</f>
        <v>30</v>
      </c>
      <c r="I117" s="27">
        <f>QUOTIENT(Tab_Kandidaten[[#This Row],[ID]],100)</f>
        <v>4</v>
      </c>
      <c r="J117" s="27">
        <f>MOD(Tab_Kandidaten[[#This Row],[ID]],100)</f>
        <v>2</v>
      </c>
      <c r="K117" s="27">
        <f>Tab_Kandidaten[[#This Row],[Länge]]-LEN(SUBSTITUTE(Tab_Kandidaten[[#This Row],[Zeitungstext]],",",""))</f>
        <v>2</v>
      </c>
    </row>
    <row r="118" spans="2:11" x14ac:dyDescent="0.25">
      <c r="B118" t="s">
        <v>129</v>
      </c>
      <c r="C118">
        <f>LEN(Tab_Kandidaten[[#This Row],[Zeitungstext]])</f>
        <v>45</v>
      </c>
      <c r="D118">
        <f>VALUE(MID(Tab_Kandidaten[[#This Row],[Zeitungstext]],1,3))</f>
        <v>403</v>
      </c>
      <c r="E118" s="27" t="str">
        <f>MID(Tab_Kandidaten[[#This Row],[Zeitungstext]],5,Tab_Kandidaten[[#This Row],[Länge]]-9)</f>
        <v>Rammler, Roland, Versicherungsmakler</v>
      </c>
      <c r="F118" s="27">
        <f>VALUE(MID(Tab_Kandidaten[[#This Row],[Zeitungstext]],Tab_Kandidaten[[#This Row],[Länge]]-3,4))</f>
        <v>1959</v>
      </c>
      <c r="G118" s="27">
        <f>2020-Tab_Kandidaten[[#This Row],[GebJahr]]</f>
        <v>61</v>
      </c>
      <c r="H118" s="27">
        <f>ROUND(Tab_Kandidaten[[#This Row],[Alter]],-1)</f>
        <v>60</v>
      </c>
      <c r="I118" s="27">
        <f>QUOTIENT(Tab_Kandidaten[[#This Row],[ID]],100)</f>
        <v>4</v>
      </c>
      <c r="J118" s="27">
        <f>MOD(Tab_Kandidaten[[#This Row],[ID]],100)</f>
        <v>3</v>
      </c>
      <c r="K118" s="27">
        <f>Tab_Kandidaten[[#This Row],[Länge]]-LEN(SUBSTITUTE(Tab_Kandidaten[[#This Row],[Zeitungstext]],",",""))</f>
        <v>2</v>
      </c>
    </row>
    <row r="119" spans="2:11" x14ac:dyDescent="0.25">
      <c r="B119" t="s">
        <v>130</v>
      </c>
      <c r="C119">
        <f>LEN(Tab_Kandidaten[[#This Row],[Zeitungstext]])</f>
        <v>33</v>
      </c>
      <c r="D119">
        <f>VALUE(MID(Tab_Kandidaten[[#This Row],[Zeitungstext]],1,3))</f>
        <v>404</v>
      </c>
      <c r="E119" s="27" t="str">
        <f>MID(Tab_Kandidaten[[#This Row],[Zeitungstext]],5,Tab_Kandidaten[[#This Row],[Länge]]-9)</f>
        <v>Kunzelmann, Max, Rentner</v>
      </c>
      <c r="F119" s="27">
        <f>VALUE(MID(Tab_Kandidaten[[#This Row],[Zeitungstext]],Tab_Kandidaten[[#This Row],[Länge]]-3,4))</f>
        <v>1946</v>
      </c>
      <c r="G119" s="27">
        <f>2020-Tab_Kandidaten[[#This Row],[GebJahr]]</f>
        <v>74</v>
      </c>
      <c r="H119" s="27">
        <f>ROUND(Tab_Kandidaten[[#This Row],[Alter]],-1)</f>
        <v>70</v>
      </c>
      <c r="I119" s="27">
        <f>QUOTIENT(Tab_Kandidaten[[#This Row],[ID]],100)</f>
        <v>4</v>
      </c>
      <c r="J119" s="27">
        <f>MOD(Tab_Kandidaten[[#This Row],[ID]],100)</f>
        <v>4</v>
      </c>
      <c r="K119" s="27">
        <f>Tab_Kandidaten[[#This Row],[Länge]]-LEN(SUBSTITUTE(Tab_Kandidaten[[#This Row],[Zeitungstext]],",",""))</f>
        <v>2</v>
      </c>
    </row>
    <row r="120" spans="2:11" x14ac:dyDescent="0.25">
      <c r="B120" t="s">
        <v>131</v>
      </c>
      <c r="C120">
        <f>LEN(Tab_Kandidaten[[#This Row],[Zeitungstext]])</f>
        <v>50</v>
      </c>
      <c r="D120">
        <f>VALUE(MID(Tab_Kandidaten[[#This Row],[Zeitungstext]],1,3))</f>
        <v>405</v>
      </c>
      <c r="E120" s="27" t="str">
        <f>MID(Tab_Kandidaten[[#This Row],[Zeitungstext]],5,Tab_Kandidaten[[#This Row],[Länge]]-9)</f>
        <v>Diepold, Paul, Dipl.-Ing. (FH), Busfahrer</v>
      </c>
      <c r="F120" s="27">
        <f>VALUE(MID(Tab_Kandidaten[[#This Row],[Zeitungstext]],Tab_Kandidaten[[#This Row],[Länge]]-3,4))</f>
        <v>1975</v>
      </c>
      <c r="G120" s="27">
        <f>2020-Tab_Kandidaten[[#This Row],[GebJahr]]</f>
        <v>45</v>
      </c>
      <c r="H120" s="27">
        <f>ROUND(Tab_Kandidaten[[#This Row],[Alter]],-1)</f>
        <v>50</v>
      </c>
      <c r="I120" s="27">
        <f>QUOTIENT(Tab_Kandidaten[[#This Row],[ID]],100)</f>
        <v>4</v>
      </c>
      <c r="J120" s="27">
        <f>MOD(Tab_Kandidaten[[#This Row],[ID]],100)</f>
        <v>5</v>
      </c>
      <c r="K120" s="27">
        <f>Tab_Kandidaten[[#This Row],[Länge]]-LEN(SUBSTITUTE(Tab_Kandidaten[[#This Row],[Zeitungstext]],",",""))</f>
        <v>3</v>
      </c>
    </row>
    <row r="121" spans="2:11" x14ac:dyDescent="0.25">
      <c r="B121" t="s">
        <v>132</v>
      </c>
      <c r="C121">
        <f>LEN(Tab_Kandidaten[[#This Row],[Zeitungstext]])</f>
        <v>38</v>
      </c>
      <c r="D121">
        <f>VALUE(MID(Tab_Kandidaten[[#This Row],[Zeitungstext]],1,3))</f>
        <v>406</v>
      </c>
      <c r="E121" s="27" t="str">
        <f>MID(Tab_Kandidaten[[#This Row],[Zeitungstext]],5,Tab_Kandidaten[[#This Row],[Länge]]-9)</f>
        <v>Böhm, Stefan, Geschäftsführer</v>
      </c>
      <c r="F121" s="27">
        <f>VALUE(MID(Tab_Kandidaten[[#This Row],[Zeitungstext]],Tab_Kandidaten[[#This Row],[Länge]]-3,4))</f>
        <v>1964</v>
      </c>
      <c r="G121" s="27">
        <f>2020-Tab_Kandidaten[[#This Row],[GebJahr]]</f>
        <v>56</v>
      </c>
      <c r="H121" s="27">
        <f>ROUND(Tab_Kandidaten[[#This Row],[Alter]],-1)</f>
        <v>60</v>
      </c>
      <c r="I121" s="27">
        <f>QUOTIENT(Tab_Kandidaten[[#This Row],[ID]],100)</f>
        <v>4</v>
      </c>
      <c r="J121" s="27">
        <f>MOD(Tab_Kandidaten[[#This Row],[ID]],100)</f>
        <v>6</v>
      </c>
      <c r="K121" s="27">
        <f>Tab_Kandidaten[[#This Row],[Länge]]-LEN(SUBSTITUTE(Tab_Kandidaten[[#This Row],[Zeitungstext]],",",""))</f>
        <v>2</v>
      </c>
    </row>
    <row r="122" spans="2:11" x14ac:dyDescent="0.25">
      <c r="B122" t="s">
        <v>133</v>
      </c>
      <c r="C122">
        <f>LEN(Tab_Kandidaten[[#This Row],[Zeitungstext]])</f>
        <v>50</v>
      </c>
      <c r="D122">
        <f>VALUE(MID(Tab_Kandidaten[[#This Row],[Zeitungstext]],1,3))</f>
        <v>407</v>
      </c>
      <c r="E122" s="27" t="str">
        <f>MID(Tab_Kandidaten[[#This Row],[Zeitungstext]],5,Tab_Kandidaten[[#This Row],[Länge]]-9)</f>
        <v>Rammler, Romana, Metzgereifachverkäuferin</v>
      </c>
      <c r="F122" s="27">
        <f>VALUE(MID(Tab_Kandidaten[[#This Row],[Zeitungstext]],Tab_Kandidaten[[#This Row],[Länge]]-3,4))</f>
        <v>1992</v>
      </c>
      <c r="G122" s="27">
        <f>2020-Tab_Kandidaten[[#This Row],[GebJahr]]</f>
        <v>28</v>
      </c>
      <c r="H122" s="27">
        <f>ROUND(Tab_Kandidaten[[#This Row],[Alter]],-1)</f>
        <v>30</v>
      </c>
      <c r="I122" s="27">
        <f>QUOTIENT(Tab_Kandidaten[[#This Row],[ID]],100)</f>
        <v>4</v>
      </c>
      <c r="J122" s="27">
        <f>MOD(Tab_Kandidaten[[#This Row],[ID]],100)</f>
        <v>7</v>
      </c>
      <c r="K122" s="27">
        <f>Tab_Kandidaten[[#This Row],[Länge]]-LEN(SUBSTITUTE(Tab_Kandidaten[[#This Row],[Zeitungstext]],",",""))</f>
        <v>2</v>
      </c>
    </row>
    <row r="123" spans="2:11" x14ac:dyDescent="0.25">
      <c r="B123" t="s">
        <v>134</v>
      </c>
      <c r="C123">
        <f>LEN(Tab_Kandidaten[[#This Row],[Zeitungstext]])</f>
        <v>34</v>
      </c>
      <c r="D123">
        <f>VALUE(MID(Tab_Kandidaten[[#This Row],[Zeitungstext]],1,3))</f>
        <v>408</v>
      </c>
      <c r="E123" s="27" t="str">
        <f>MID(Tab_Kandidaten[[#This Row],[Zeitungstext]],5,Tab_Kandidaten[[#This Row],[Länge]]-9)</f>
        <v>Martin, Renate, Rentnerin</v>
      </c>
      <c r="F123" s="27">
        <f>VALUE(MID(Tab_Kandidaten[[#This Row],[Zeitungstext]],Tab_Kandidaten[[#This Row],[Länge]]-3,4))</f>
        <v>1944</v>
      </c>
      <c r="G123" s="27">
        <f>2020-Tab_Kandidaten[[#This Row],[GebJahr]]</f>
        <v>76</v>
      </c>
      <c r="H123" s="27">
        <f>ROUND(Tab_Kandidaten[[#This Row],[Alter]],-1)</f>
        <v>80</v>
      </c>
      <c r="I123" s="27">
        <f>QUOTIENT(Tab_Kandidaten[[#This Row],[ID]],100)</f>
        <v>4</v>
      </c>
      <c r="J123" s="27">
        <f>MOD(Tab_Kandidaten[[#This Row],[ID]],100)</f>
        <v>8</v>
      </c>
      <c r="K123" s="27">
        <f>Tab_Kandidaten[[#This Row],[Länge]]-LEN(SUBSTITUTE(Tab_Kandidaten[[#This Row],[Zeitungstext]],",",""))</f>
        <v>2</v>
      </c>
    </row>
    <row r="124" spans="2:11" x14ac:dyDescent="0.25">
      <c r="B124" t="s">
        <v>135</v>
      </c>
      <c r="C124">
        <f>LEN(Tab_Kandidaten[[#This Row],[Zeitungstext]])</f>
        <v>31</v>
      </c>
      <c r="D124">
        <f>VALUE(MID(Tab_Kandidaten[[#This Row],[Zeitungstext]],1,3))</f>
        <v>409</v>
      </c>
      <c r="E124" s="27" t="str">
        <f>MID(Tab_Kandidaten[[#This Row],[Zeitungstext]],5,Tab_Kandidaten[[#This Row],[Länge]]-9)</f>
        <v>Plank, Thomas, Rentner</v>
      </c>
      <c r="F124" s="27">
        <f>VALUE(MID(Tab_Kandidaten[[#This Row],[Zeitungstext]],Tab_Kandidaten[[#This Row],[Länge]]-3,4))</f>
        <v>1967</v>
      </c>
      <c r="G124" s="27">
        <f>2020-Tab_Kandidaten[[#This Row],[GebJahr]]</f>
        <v>53</v>
      </c>
      <c r="H124" s="27">
        <f>ROUND(Tab_Kandidaten[[#This Row],[Alter]],-1)</f>
        <v>50</v>
      </c>
      <c r="I124" s="27">
        <f>QUOTIENT(Tab_Kandidaten[[#This Row],[ID]],100)</f>
        <v>4</v>
      </c>
      <c r="J124" s="27">
        <f>MOD(Tab_Kandidaten[[#This Row],[ID]],100)</f>
        <v>9</v>
      </c>
      <c r="K124" s="27">
        <f>Tab_Kandidaten[[#This Row],[Länge]]-LEN(SUBSTITUTE(Tab_Kandidaten[[#This Row],[Zeitungstext]],",",""))</f>
        <v>2</v>
      </c>
    </row>
    <row r="125" spans="2:11" x14ac:dyDescent="0.25">
      <c r="B125" t="s">
        <v>136</v>
      </c>
      <c r="C125">
        <f>LEN(Tab_Kandidaten[[#This Row],[Zeitungstext]])</f>
        <v>49</v>
      </c>
      <c r="D125">
        <f>VALUE(MID(Tab_Kandidaten[[#This Row],[Zeitungstext]],1,3))</f>
        <v>410</v>
      </c>
      <c r="E125" s="27" t="str">
        <f>MID(Tab_Kandidaten[[#This Row],[Zeitungstext]],5,Tab_Kandidaten[[#This Row],[Länge]]-9)</f>
        <v>Ostermann, Vanessa, med. Fachangestellte</v>
      </c>
      <c r="F125" s="27">
        <f>VALUE(MID(Tab_Kandidaten[[#This Row],[Zeitungstext]],Tab_Kandidaten[[#This Row],[Länge]]-3,4))</f>
        <v>1998</v>
      </c>
      <c r="G125" s="27">
        <f>2020-Tab_Kandidaten[[#This Row],[GebJahr]]</f>
        <v>22</v>
      </c>
      <c r="H125" s="27">
        <f>ROUND(Tab_Kandidaten[[#This Row],[Alter]],-1)</f>
        <v>20</v>
      </c>
      <c r="I125" s="27">
        <f>QUOTIENT(Tab_Kandidaten[[#This Row],[ID]],100)</f>
        <v>4</v>
      </c>
      <c r="J125" s="27">
        <f>MOD(Tab_Kandidaten[[#This Row],[ID]],100)</f>
        <v>10</v>
      </c>
      <c r="K125" s="27">
        <f>Tab_Kandidaten[[#This Row],[Länge]]-LEN(SUBSTITUTE(Tab_Kandidaten[[#This Row],[Zeitungstext]],",",""))</f>
        <v>2</v>
      </c>
    </row>
    <row r="126" spans="2:11" x14ac:dyDescent="0.25">
      <c r="B126" t="s">
        <v>87</v>
      </c>
      <c r="C126">
        <f>LEN(Tab_Kandidaten[[#This Row],[Zeitungstext]])</f>
        <v>94</v>
      </c>
      <c r="D126">
        <f>VALUE(MID(Tab_Kandidaten[[#This Row],[Zeitungstext]],1,3))</f>
        <v>501</v>
      </c>
      <c r="E126" s="27" t="str">
        <f>MID(Tab_Kandidaten[[#This Row],[Zeitungstext]],5,Tab_Kandidaten[[#This Row],[Länge]]-9)</f>
        <v>Döhla,Eva,M.A.,MAS,Marketing-Managerin,Stadträtin,Fraktionsvorsitzende,Stiftungsrätin</v>
      </c>
      <c r="F126" s="27">
        <f>VALUE(MID(Tab_Kandidaten[[#This Row],[Zeitungstext]],Tab_Kandidaten[[#This Row],[Länge]]-3,4))</f>
        <v>1972</v>
      </c>
      <c r="G126" s="27">
        <f>2020-Tab_Kandidaten[[#This Row],[GebJahr]]</f>
        <v>48</v>
      </c>
      <c r="H126" s="27">
        <f>ROUND(Tab_Kandidaten[[#This Row],[Alter]],-1)</f>
        <v>50</v>
      </c>
      <c r="I126" s="27">
        <f>QUOTIENT(Tab_Kandidaten[[#This Row],[ID]],100)</f>
        <v>5</v>
      </c>
      <c r="J126" s="27">
        <f>MOD(Tab_Kandidaten[[#This Row],[ID]],100)</f>
        <v>1</v>
      </c>
      <c r="K126" s="27">
        <f>Tab_Kandidaten[[#This Row],[Länge]]-LEN(SUBSTITUTE(Tab_Kandidaten[[#This Row],[Zeitungstext]],",",""))</f>
        <v>7</v>
      </c>
    </row>
    <row r="127" spans="2:11" x14ac:dyDescent="0.25">
      <c r="B127" t="s">
        <v>88</v>
      </c>
      <c r="C127">
        <f>LEN(Tab_Kandidaten[[#This Row],[Zeitungstext]])</f>
        <v>82</v>
      </c>
      <c r="D127">
        <f>VALUE(MID(Tab_Kandidaten[[#This Row],[Zeitungstext]],1,3))</f>
        <v>502</v>
      </c>
      <c r="E127" s="27" t="str">
        <f>MID(Tab_Kandidaten[[#This Row],[Zeitungstext]],5,Tab_Kandidaten[[#This Row],[Länge]]-9)</f>
        <v>Strößner, Florian, Fachoberlehrer, Bürgermeister, Stadtrat, Jugendschöffe</v>
      </c>
      <c r="F127" s="27">
        <f>VALUE(MID(Tab_Kandidaten[[#This Row],[Zeitungstext]],Tab_Kandidaten[[#This Row],[Länge]]-3,4))</f>
        <v>1985</v>
      </c>
      <c r="G127" s="27">
        <f>2020-Tab_Kandidaten[[#This Row],[GebJahr]]</f>
        <v>35</v>
      </c>
      <c r="H127" s="27">
        <f>ROUND(Tab_Kandidaten[[#This Row],[Alter]],-1)</f>
        <v>40</v>
      </c>
      <c r="I127" s="27">
        <f>QUOTIENT(Tab_Kandidaten[[#This Row],[ID]],100)</f>
        <v>5</v>
      </c>
      <c r="J127" s="27">
        <f>MOD(Tab_Kandidaten[[#This Row],[ID]],100)</f>
        <v>2</v>
      </c>
      <c r="K127" s="27">
        <f>Tab_Kandidaten[[#This Row],[Länge]]-LEN(SUBSTITUTE(Tab_Kandidaten[[#This Row],[Zeitungstext]],",",""))</f>
        <v>5</v>
      </c>
    </row>
    <row r="128" spans="2:11" x14ac:dyDescent="0.25">
      <c r="B128" t="s">
        <v>89</v>
      </c>
      <c r="C128">
        <f>LEN(Tab_Kandidaten[[#This Row],[Zeitungstext]])</f>
        <v>49</v>
      </c>
      <c r="D128">
        <f>VALUE(MID(Tab_Kandidaten[[#This Row],[Zeitungstext]],1,3))</f>
        <v>503</v>
      </c>
      <c r="E128" s="27" t="str">
        <f>MID(Tab_Kandidaten[[#This Row],[Zeitungstext]],5,Tab_Kandidaten[[#This Row],[Länge]]-9)</f>
        <v>Franke, Michaela, Betriebsleiterin Bäder</v>
      </c>
      <c r="F128" s="27">
        <f>VALUE(MID(Tab_Kandidaten[[#This Row],[Zeitungstext]],Tab_Kandidaten[[#This Row],[Länge]]-3,4))</f>
        <v>1971</v>
      </c>
      <c r="G128" s="27">
        <f>2020-Tab_Kandidaten[[#This Row],[GebJahr]]</f>
        <v>49</v>
      </c>
      <c r="H128" s="27">
        <f>ROUND(Tab_Kandidaten[[#This Row],[Alter]],-1)</f>
        <v>50</v>
      </c>
      <c r="I128" s="27">
        <f>QUOTIENT(Tab_Kandidaten[[#This Row],[ID]],100)</f>
        <v>5</v>
      </c>
      <c r="J128" s="27">
        <f>MOD(Tab_Kandidaten[[#This Row],[ID]],100)</f>
        <v>3</v>
      </c>
      <c r="K128" s="27">
        <f>Tab_Kandidaten[[#This Row],[Länge]]-LEN(SUBSTITUTE(Tab_Kandidaten[[#This Row],[Zeitungstext]],",",""))</f>
        <v>2</v>
      </c>
    </row>
    <row r="129" spans="2:11" x14ac:dyDescent="0.25">
      <c r="B129" t="s">
        <v>90</v>
      </c>
      <c r="C129">
        <f>LEN(Tab_Kandidaten[[#This Row],[Zeitungstext]])</f>
        <v>72</v>
      </c>
      <c r="D129">
        <f>VALUE(MID(Tab_Kandidaten[[#This Row],[Zeitungstext]],1,3))</f>
        <v>504</v>
      </c>
      <c r="E129" s="27" t="str">
        <f>MID(Tab_Kandidaten[[#This Row],[Zeitungstext]],5,Tab_Kandidaten[[#This Row],[Länge]]-9)</f>
        <v>Leitl, Patrick, Historiker M.A., wissenschaftlicher Mitarbeiter</v>
      </c>
      <c r="F129" s="27">
        <f>VALUE(MID(Tab_Kandidaten[[#This Row],[Zeitungstext]],Tab_Kandidaten[[#This Row],[Länge]]-3,4))</f>
        <v>1986</v>
      </c>
      <c r="G129" s="27">
        <f>2020-Tab_Kandidaten[[#This Row],[GebJahr]]</f>
        <v>34</v>
      </c>
      <c r="H129" s="27">
        <f>ROUND(Tab_Kandidaten[[#This Row],[Alter]],-1)</f>
        <v>30</v>
      </c>
      <c r="I129" s="27">
        <f>QUOTIENT(Tab_Kandidaten[[#This Row],[ID]],100)</f>
        <v>5</v>
      </c>
      <c r="J129" s="27">
        <f>MOD(Tab_Kandidaten[[#This Row],[ID]],100)</f>
        <v>4</v>
      </c>
      <c r="K129" s="27">
        <f>Tab_Kandidaten[[#This Row],[Länge]]-LEN(SUBSTITUTE(Tab_Kandidaten[[#This Row],[Zeitungstext]],",",""))</f>
        <v>3</v>
      </c>
    </row>
    <row r="130" spans="2:11" x14ac:dyDescent="0.25">
      <c r="B130" t="s">
        <v>91</v>
      </c>
      <c r="C130">
        <f>LEN(Tab_Kandidaten[[#This Row],[Zeitungstext]])</f>
        <v>79</v>
      </c>
      <c r="D130">
        <f>VALUE(MID(Tab_Kandidaten[[#This Row],[Zeitungstext]],1,3))</f>
        <v>505</v>
      </c>
      <c r="E130" s="27" t="str">
        <f>MID(Tab_Kandidaten[[#This Row],[Zeitungstext]],5,Tab_Kandidaten[[#This Row],[Länge]]-9)</f>
        <v>Böhm, Karola, Rechtsanwältin, Stadträtin, stellv. Fraktionsvorsitzende</v>
      </c>
      <c r="F130" s="27">
        <f>VALUE(MID(Tab_Kandidaten[[#This Row],[Zeitungstext]],Tab_Kandidaten[[#This Row],[Länge]]-3,4))</f>
        <v>1956</v>
      </c>
      <c r="G130" s="27">
        <f>2020-Tab_Kandidaten[[#This Row],[GebJahr]]</f>
        <v>64</v>
      </c>
      <c r="H130" s="27">
        <f>ROUND(Tab_Kandidaten[[#This Row],[Alter]],-1)</f>
        <v>60</v>
      </c>
      <c r="I130" s="27">
        <f>QUOTIENT(Tab_Kandidaten[[#This Row],[ID]],100)</f>
        <v>5</v>
      </c>
      <c r="J130" s="27">
        <f>MOD(Tab_Kandidaten[[#This Row],[ID]],100)</f>
        <v>5</v>
      </c>
      <c r="K130" s="27">
        <f>Tab_Kandidaten[[#This Row],[Länge]]-LEN(SUBSTITUTE(Tab_Kandidaten[[#This Row],[Zeitungstext]],",",""))</f>
        <v>4</v>
      </c>
    </row>
    <row r="131" spans="2:11" x14ac:dyDescent="0.25">
      <c r="B131" t="s">
        <v>92</v>
      </c>
      <c r="C131">
        <f>LEN(Tab_Kandidaten[[#This Row],[Zeitungstext]])</f>
        <v>29</v>
      </c>
      <c r="D131">
        <f>VALUE(MID(Tab_Kandidaten[[#This Row],[Zeitungstext]],1,3))</f>
        <v>506</v>
      </c>
      <c r="E131" s="27" t="str">
        <f>MID(Tab_Kandidaten[[#This Row],[Zeitungstext]],5,Tab_Kandidaten[[#This Row],[Länge]]-9)</f>
        <v>Kolb, Sascha, Jurist</v>
      </c>
      <c r="F131" s="27">
        <f>VALUE(MID(Tab_Kandidaten[[#This Row],[Zeitungstext]],Tab_Kandidaten[[#This Row],[Länge]]-3,4))</f>
        <v>1996</v>
      </c>
      <c r="G131" s="27">
        <f>2020-Tab_Kandidaten[[#This Row],[GebJahr]]</f>
        <v>24</v>
      </c>
      <c r="H131" s="27">
        <f>ROUND(Tab_Kandidaten[[#This Row],[Alter]],-1)</f>
        <v>20</v>
      </c>
      <c r="I131" s="27">
        <f>QUOTIENT(Tab_Kandidaten[[#This Row],[ID]],100)</f>
        <v>5</v>
      </c>
      <c r="J131" s="27">
        <f>MOD(Tab_Kandidaten[[#This Row],[ID]],100)</f>
        <v>6</v>
      </c>
      <c r="K131" s="27">
        <f>Tab_Kandidaten[[#This Row],[Länge]]-LEN(SUBSTITUTE(Tab_Kandidaten[[#This Row],[Zeitungstext]],",",""))</f>
        <v>2</v>
      </c>
    </row>
    <row r="132" spans="2:11" x14ac:dyDescent="0.25">
      <c r="B132" t="s">
        <v>93</v>
      </c>
      <c r="C132">
        <f>LEN(Tab_Kandidaten[[#This Row],[Zeitungstext]])</f>
        <v>68</v>
      </c>
      <c r="D132">
        <f>VALUE(MID(Tab_Kandidaten[[#This Row],[Zeitungstext]],1,3))</f>
        <v>507</v>
      </c>
      <c r="E132" s="27" t="str">
        <f>MID(Tab_Kandidaten[[#This Row],[Zeitungstext]],5,Tab_Kandidaten[[#This Row],[Länge]]-9)</f>
        <v>Hering, Andrea, Krankheits-Gesundheitspflegerin, Stadträtin</v>
      </c>
      <c r="F132" s="27">
        <f>VALUE(MID(Tab_Kandidaten[[#This Row],[Zeitungstext]],Tab_Kandidaten[[#This Row],[Länge]]-3,4))</f>
        <v>1966</v>
      </c>
      <c r="G132" s="27">
        <f>2020-Tab_Kandidaten[[#This Row],[GebJahr]]</f>
        <v>54</v>
      </c>
      <c r="H132" s="27">
        <f>ROUND(Tab_Kandidaten[[#This Row],[Alter]],-1)</f>
        <v>50</v>
      </c>
      <c r="I132" s="27">
        <f>QUOTIENT(Tab_Kandidaten[[#This Row],[ID]],100)</f>
        <v>5</v>
      </c>
      <c r="J132" s="27">
        <f>MOD(Tab_Kandidaten[[#This Row],[ID]],100)</f>
        <v>7</v>
      </c>
      <c r="K132" s="27">
        <f>Tab_Kandidaten[[#This Row],[Länge]]-LEN(SUBSTITUTE(Tab_Kandidaten[[#This Row],[Zeitungstext]],",",""))</f>
        <v>3</v>
      </c>
    </row>
    <row r="133" spans="2:11" x14ac:dyDescent="0.25">
      <c r="B133" t="s">
        <v>94</v>
      </c>
      <c r="C133">
        <f>LEN(Tab_Kandidaten[[#This Row],[Zeitungstext]])</f>
        <v>63</v>
      </c>
      <c r="D133">
        <f>VALUE(MID(Tab_Kandidaten[[#This Row],[Zeitungstext]],1,3))</f>
        <v>508</v>
      </c>
      <c r="E133" s="27" t="str">
        <f>MID(Tab_Kandidaten[[#This Row],[Zeitungstext]],5,Tab_Kandidaten[[#This Row],[Länge]]-9)</f>
        <v>Kaiser, Alexander, selbstständiger Gastronom, Stadtrat</v>
      </c>
      <c r="F133" s="27">
        <f>VALUE(MID(Tab_Kandidaten[[#This Row],[Zeitungstext]],Tab_Kandidaten[[#This Row],[Länge]]-3,4))</f>
        <v>1972</v>
      </c>
      <c r="G133" s="27">
        <f>2020-Tab_Kandidaten[[#This Row],[GebJahr]]</f>
        <v>48</v>
      </c>
      <c r="H133" s="27">
        <f>ROUND(Tab_Kandidaten[[#This Row],[Alter]],-1)</f>
        <v>50</v>
      </c>
      <c r="I133" s="27">
        <f>QUOTIENT(Tab_Kandidaten[[#This Row],[ID]],100)</f>
        <v>5</v>
      </c>
      <c r="J133" s="27">
        <f>MOD(Tab_Kandidaten[[#This Row],[ID]],100)</f>
        <v>8</v>
      </c>
      <c r="K133" s="27">
        <f>Tab_Kandidaten[[#This Row],[Länge]]-LEN(SUBSTITUTE(Tab_Kandidaten[[#This Row],[Zeitungstext]],",",""))</f>
        <v>3</v>
      </c>
    </row>
    <row r="134" spans="2:11" x14ac:dyDescent="0.25">
      <c r="B134" t="s">
        <v>95</v>
      </c>
      <c r="C134">
        <f>LEN(Tab_Kandidaten[[#This Row],[Zeitungstext]])</f>
        <v>69</v>
      </c>
      <c r="D134">
        <f>VALUE(MID(Tab_Kandidaten[[#This Row],[Zeitungstext]],1,3))</f>
        <v>509</v>
      </c>
      <c r="E134" s="27" t="str">
        <f>MID(Tab_Kandidaten[[#This Row],[Zeitungstext]],5,Tab_Kandidaten[[#This Row],[Länge]]-9)</f>
        <v>Wunderlich, Hülya, Staatl. gepr. Sozialberaterin, Stadträtin</v>
      </c>
      <c r="F134" s="27">
        <f>VALUE(MID(Tab_Kandidaten[[#This Row],[Zeitungstext]],Tab_Kandidaten[[#This Row],[Länge]]-3,4))</f>
        <v>1962</v>
      </c>
      <c r="G134" s="27">
        <f>2020-Tab_Kandidaten[[#This Row],[GebJahr]]</f>
        <v>58</v>
      </c>
      <c r="H134" s="27">
        <f>ROUND(Tab_Kandidaten[[#This Row],[Alter]],-1)</f>
        <v>60</v>
      </c>
      <c r="I134" s="27">
        <f>QUOTIENT(Tab_Kandidaten[[#This Row],[ID]],100)</f>
        <v>5</v>
      </c>
      <c r="J134" s="27">
        <f>MOD(Tab_Kandidaten[[#This Row],[ID]],100)</f>
        <v>9</v>
      </c>
      <c r="K134" s="27">
        <f>Tab_Kandidaten[[#This Row],[Länge]]-LEN(SUBSTITUTE(Tab_Kandidaten[[#This Row],[Zeitungstext]],",",""))</f>
        <v>3</v>
      </c>
    </row>
    <row r="135" spans="2:11" x14ac:dyDescent="0.25">
      <c r="B135" t="s">
        <v>96</v>
      </c>
      <c r="C135">
        <f>LEN(Tab_Kandidaten[[#This Row],[Zeitungstext]])</f>
        <v>110</v>
      </c>
      <c r="D135">
        <f>VALUE(MID(Tab_Kandidaten[[#This Row],[Zeitungstext]],1,3))</f>
        <v>510</v>
      </c>
      <c r="E135" s="27" t="str">
        <f>MID(Tab_Kandidaten[[#This Row],[Zeitungstext]],5,Tab_Kandidaten[[#This Row],[Länge]]-9)</f>
        <v>Kilincsoy, Aytunc, Elektriker, freigest. Betriebsratsvorsitzender, Stadtrat, ehrenamt. Arbeitsrichter</v>
      </c>
      <c r="F135" s="27">
        <f>VALUE(MID(Tab_Kandidaten[[#This Row],[Zeitungstext]],Tab_Kandidaten[[#This Row],[Länge]]-3,4))</f>
        <v>1963</v>
      </c>
      <c r="G135" s="27">
        <f>2020-Tab_Kandidaten[[#This Row],[GebJahr]]</f>
        <v>57</v>
      </c>
      <c r="H135" s="27">
        <f>ROUND(Tab_Kandidaten[[#This Row],[Alter]],-1)</f>
        <v>60</v>
      </c>
      <c r="I135" s="27">
        <f>QUOTIENT(Tab_Kandidaten[[#This Row],[ID]],100)</f>
        <v>5</v>
      </c>
      <c r="J135" s="27">
        <f>MOD(Tab_Kandidaten[[#This Row],[ID]],100)</f>
        <v>10</v>
      </c>
      <c r="K135" s="27">
        <f>Tab_Kandidaten[[#This Row],[Länge]]-LEN(SUBSTITUTE(Tab_Kandidaten[[#This Row],[Zeitungstext]],",",""))</f>
        <v>5</v>
      </c>
    </row>
    <row r="136" spans="2:11" x14ac:dyDescent="0.25">
      <c r="B136" t="s">
        <v>97</v>
      </c>
      <c r="C136">
        <f>LEN(Tab_Kandidaten[[#This Row],[Zeitungstext]])</f>
        <v>52</v>
      </c>
      <c r="D136">
        <f>VALUE(MID(Tab_Kandidaten[[#This Row],[Zeitungstext]],1,3))</f>
        <v>511</v>
      </c>
      <c r="E136" s="27" t="str">
        <f>MID(Tab_Kandidaten[[#This Row],[Zeitungstext]],5,Tab_Kandidaten[[#This Row],[Länge]]-9)</f>
        <v>Brandt, Nadine, Kauffrau für Büromanagement</v>
      </c>
      <c r="F136" s="27">
        <f>VALUE(MID(Tab_Kandidaten[[#This Row],[Zeitungstext]],Tab_Kandidaten[[#This Row],[Länge]]-3,4))</f>
        <v>1978</v>
      </c>
      <c r="G136" s="27">
        <f>2020-Tab_Kandidaten[[#This Row],[GebJahr]]</f>
        <v>42</v>
      </c>
      <c r="H136" s="27">
        <f>ROUND(Tab_Kandidaten[[#This Row],[Alter]],-1)</f>
        <v>40</v>
      </c>
      <c r="I136" s="27">
        <f>QUOTIENT(Tab_Kandidaten[[#This Row],[ID]],100)</f>
        <v>5</v>
      </c>
      <c r="J136" s="27">
        <f>MOD(Tab_Kandidaten[[#This Row],[ID]],100)</f>
        <v>11</v>
      </c>
      <c r="K136" s="27">
        <f>Tab_Kandidaten[[#This Row],[Länge]]-LEN(SUBSTITUTE(Tab_Kandidaten[[#This Row],[Zeitungstext]],",",""))</f>
        <v>2</v>
      </c>
    </row>
    <row r="137" spans="2:11" x14ac:dyDescent="0.25">
      <c r="B137" t="s">
        <v>98</v>
      </c>
      <c r="C137">
        <f>LEN(Tab_Kandidaten[[#This Row],[Zeitungstext]])</f>
        <v>79</v>
      </c>
      <c r="D137">
        <f>VALUE(MID(Tab_Kandidaten[[#This Row],[Zeitungstext]],1,3))</f>
        <v>512</v>
      </c>
      <c r="E137" s="27" t="str">
        <f>MID(Tab_Kandidaten[[#This Row],[Zeitungstext]],5,Tab_Kandidaten[[#This Row],[Länge]]-9)</f>
        <v>Dr. Adelt, Jürgen, Frauenarzt, Stadtrat, stellv. Fraktionsvorsitzender</v>
      </c>
      <c r="F137" s="27">
        <f>VALUE(MID(Tab_Kandidaten[[#This Row],[Zeitungstext]],Tab_Kandidaten[[#This Row],[Länge]]-3,4))</f>
        <v>1949</v>
      </c>
      <c r="G137" s="27">
        <f>2020-Tab_Kandidaten[[#This Row],[GebJahr]]</f>
        <v>71</v>
      </c>
      <c r="H137" s="27">
        <f>ROUND(Tab_Kandidaten[[#This Row],[Alter]],-1)</f>
        <v>70</v>
      </c>
      <c r="I137" s="27">
        <f>QUOTIENT(Tab_Kandidaten[[#This Row],[ID]],100)</f>
        <v>5</v>
      </c>
      <c r="J137" s="27">
        <f>MOD(Tab_Kandidaten[[#This Row],[ID]],100)</f>
        <v>12</v>
      </c>
      <c r="K137" s="27">
        <f>Tab_Kandidaten[[#This Row],[Länge]]-LEN(SUBSTITUTE(Tab_Kandidaten[[#This Row],[Zeitungstext]],",",""))</f>
        <v>4</v>
      </c>
    </row>
    <row r="138" spans="2:11" x14ac:dyDescent="0.25">
      <c r="B138" t="s">
        <v>99</v>
      </c>
      <c r="C138">
        <f>LEN(Tab_Kandidaten[[#This Row],[Zeitungstext]])</f>
        <v>36</v>
      </c>
      <c r="D138">
        <f>VALUE(MID(Tab_Kandidaten[[#This Row],[Zeitungstext]],1,3))</f>
        <v>513</v>
      </c>
      <c r="E138" s="27" t="str">
        <f>MID(Tab_Kandidaten[[#This Row],[Zeitungstext]],5,Tab_Kandidaten[[#This Row],[Länge]]-9)</f>
        <v>Leichauer, Iris, Sekretärin</v>
      </c>
      <c r="F138" s="27">
        <f>VALUE(MID(Tab_Kandidaten[[#This Row],[Zeitungstext]],Tab_Kandidaten[[#This Row],[Länge]]-3,4))</f>
        <v>1962</v>
      </c>
      <c r="G138" s="27">
        <f>2020-Tab_Kandidaten[[#This Row],[GebJahr]]</f>
        <v>58</v>
      </c>
      <c r="H138" s="27">
        <f>ROUND(Tab_Kandidaten[[#This Row],[Alter]],-1)</f>
        <v>60</v>
      </c>
      <c r="I138" s="27">
        <f>QUOTIENT(Tab_Kandidaten[[#This Row],[ID]],100)</f>
        <v>5</v>
      </c>
      <c r="J138" s="27">
        <f>MOD(Tab_Kandidaten[[#This Row],[ID]],100)</f>
        <v>13</v>
      </c>
      <c r="K138" s="27">
        <f>Tab_Kandidaten[[#This Row],[Länge]]-LEN(SUBSTITUTE(Tab_Kandidaten[[#This Row],[Zeitungstext]],",",""))</f>
        <v>2</v>
      </c>
    </row>
    <row r="139" spans="2:11" x14ac:dyDescent="0.25">
      <c r="B139" t="s">
        <v>100</v>
      </c>
      <c r="C139">
        <f>LEN(Tab_Kandidaten[[#This Row],[Zeitungstext]])</f>
        <v>41</v>
      </c>
      <c r="D139">
        <f>VALUE(MID(Tab_Kandidaten[[#This Row],[Zeitungstext]],1,3))</f>
        <v>514</v>
      </c>
      <c r="E139" s="27" t="str">
        <f>MID(Tab_Kandidaten[[#This Row],[Zeitungstext]],5,Tab_Kandidaten[[#This Row],[Länge]]-9)</f>
        <v>Wellen, Benjamin, Friseurmeister</v>
      </c>
      <c r="F139" s="27">
        <f>VALUE(MID(Tab_Kandidaten[[#This Row],[Zeitungstext]],Tab_Kandidaten[[#This Row],[Länge]]-3,4))</f>
        <v>1983</v>
      </c>
      <c r="G139" s="27">
        <f>2020-Tab_Kandidaten[[#This Row],[GebJahr]]</f>
        <v>37</v>
      </c>
      <c r="H139" s="27">
        <f>ROUND(Tab_Kandidaten[[#This Row],[Alter]],-1)</f>
        <v>40</v>
      </c>
      <c r="I139" s="27">
        <f>QUOTIENT(Tab_Kandidaten[[#This Row],[ID]],100)</f>
        <v>5</v>
      </c>
      <c r="J139" s="27">
        <f>MOD(Tab_Kandidaten[[#This Row],[ID]],100)</f>
        <v>14</v>
      </c>
      <c r="K139" s="27">
        <f>Tab_Kandidaten[[#This Row],[Länge]]-LEN(SUBSTITUTE(Tab_Kandidaten[[#This Row],[Zeitungstext]],",",""))</f>
        <v>2</v>
      </c>
    </row>
    <row r="140" spans="2:11" x14ac:dyDescent="0.25">
      <c r="B140" t="s">
        <v>101</v>
      </c>
      <c r="C140">
        <f>LEN(Tab_Kandidaten[[#This Row],[Zeitungstext]])</f>
        <v>46</v>
      </c>
      <c r="D140">
        <f>VALUE(MID(Tab_Kandidaten[[#This Row],[Zeitungstext]],1,3))</f>
        <v>515</v>
      </c>
      <c r="E140" s="27" t="str">
        <f>MID(Tab_Kandidaten[[#This Row],[Zeitungstext]],5,Tab_Kandidaten[[#This Row],[Länge]]-9)</f>
        <v>Kaiser, Franziska, Integrationslotsin</v>
      </c>
      <c r="F140" s="27">
        <f>VALUE(MID(Tab_Kandidaten[[#This Row],[Zeitungstext]],Tab_Kandidaten[[#This Row],[Länge]]-3,4))</f>
        <v>1988</v>
      </c>
      <c r="G140" s="27">
        <f>2020-Tab_Kandidaten[[#This Row],[GebJahr]]</f>
        <v>32</v>
      </c>
      <c r="H140" s="27">
        <f>ROUND(Tab_Kandidaten[[#This Row],[Alter]],-1)</f>
        <v>30</v>
      </c>
      <c r="I140" s="27">
        <f>QUOTIENT(Tab_Kandidaten[[#This Row],[ID]],100)</f>
        <v>5</v>
      </c>
      <c r="J140" s="27">
        <f>MOD(Tab_Kandidaten[[#This Row],[ID]],100)</f>
        <v>15</v>
      </c>
      <c r="K140" s="27">
        <f>Tab_Kandidaten[[#This Row],[Länge]]-LEN(SUBSTITUTE(Tab_Kandidaten[[#This Row],[Zeitungstext]],",",""))</f>
        <v>2</v>
      </c>
    </row>
    <row r="141" spans="2:11" x14ac:dyDescent="0.25">
      <c r="B141" t="s">
        <v>102</v>
      </c>
      <c r="C141">
        <f>LEN(Tab_Kandidaten[[#This Row],[Zeitungstext]])</f>
        <v>73</v>
      </c>
      <c r="D141">
        <f>VALUE(MID(Tab_Kandidaten[[#This Row],[Zeitungstext]],1,3))</f>
        <v>516</v>
      </c>
      <c r="E141" s="27" t="str">
        <f>MID(Tab_Kandidaten[[#This Row],[Zeitungstext]],5,Tab_Kandidaten[[#This Row],[Länge]]-9)</f>
        <v>Immisch, Christian, Sicherheits- u. Gesundheitsschutzkoordinator</v>
      </c>
      <c r="F141" s="27">
        <f>VALUE(MID(Tab_Kandidaten[[#This Row],[Zeitungstext]],Tab_Kandidaten[[#This Row],[Länge]]-3,4))</f>
        <v>1987</v>
      </c>
      <c r="G141" s="27">
        <f>2020-Tab_Kandidaten[[#This Row],[GebJahr]]</f>
        <v>33</v>
      </c>
      <c r="H141" s="27">
        <f>ROUND(Tab_Kandidaten[[#This Row],[Alter]],-1)</f>
        <v>30</v>
      </c>
      <c r="I141" s="27">
        <f>QUOTIENT(Tab_Kandidaten[[#This Row],[ID]],100)</f>
        <v>5</v>
      </c>
      <c r="J141" s="27">
        <f>MOD(Tab_Kandidaten[[#This Row],[ID]],100)</f>
        <v>16</v>
      </c>
      <c r="K141" s="27">
        <f>Tab_Kandidaten[[#This Row],[Länge]]-LEN(SUBSTITUTE(Tab_Kandidaten[[#This Row],[Zeitungstext]],",",""))</f>
        <v>2</v>
      </c>
    </row>
    <row r="142" spans="2:11" x14ac:dyDescent="0.25">
      <c r="B142" t="s">
        <v>103</v>
      </c>
      <c r="C142">
        <f>LEN(Tab_Kandidaten[[#This Row],[Zeitungstext]])</f>
        <v>40</v>
      </c>
      <c r="D142">
        <f>VALUE(MID(Tab_Kandidaten[[#This Row],[Zeitungstext]],1,3))</f>
        <v>517</v>
      </c>
      <c r="E142" s="27" t="str">
        <f>MID(Tab_Kandidaten[[#This Row],[Zeitungstext]],5,Tab_Kandidaten[[#This Row],[Länge]]-9)</f>
        <v>Ertas, Serpil, Friseurmeisterin</v>
      </c>
      <c r="F142" s="27">
        <f>VALUE(MID(Tab_Kandidaten[[#This Row],[Zeitungstext]],Tab_Kandidaten[[#This Row],[Länge]]-3,4))</f>
        <v>1972</v>
      </c>
      <c r="G142" s="27">
        <f>2020-Tab_Kandidaten[[#This Row],[GebJahr]]</f>
        <v>48</v>
      </c>
      <c r="H142" s="27">
        <f>ROUND(Tab_Kandidaten[[#This Row],[Alter]],-1)</f>
        <v>50</v>
      </c>
      <c r="I142" s="27">
        <f>QUOTIENT(Tab_Kandidaten[[#This Row],[ID]],100)</f>
        <v>5</v>
      </c>
      <c r="J142" s="27">
        <f>MOD(Tab_Kandidaten[[#This Row],[ID]],100)</f>
        <v>17</v>
      </c>
      <c r="K142" s="27">
        <f>Tab_Kandidaten[[#This Row],[Länge]]-LEN(SUBSTITUTE(Tab_Kandidaten[[#This Row],[Zeitungstext]],",",""))</f>
        <v>2</v>
      </c>
    </row>
    <row r="143" spans="2:11" x14ac:dyDescent="0.25">
      <c r="B143" t="s">
        <v>104</v>
      </c>
      <c r="C143">
        <f>LEN(Tab_Kandidaten[[#This Row],[Zeitungstext]])</f>
        <v>40</v>
      </c>
      <c r="D143">
        <f>VALUE(MID(Tab_Kandidaten[[#This Row],[Zeitungstext]],1,3))</f>
        <v>518</v>
      </c>
      <c r="E143" s="27" t="str">
        <f>MID(Tab_Kandidaten[[#This Row],[Zeitungstext]],5,Tab_Kandidaten[[#This Row],[Länge]]-9)</f>
        <v>Flügel, Stefan, Lokomotivführer</v>
      </c>
      <c r="F143" s="27">
        <f>VALUE(MID(Tab_Kandidaten[[#This Row],[Zeitungstext]],Tab_Kandidaten[[#This Row],[Länge]]-3,4))</f>
        <v>1970</v>
      </c>
      <c r="G143" s="27">
        <f>2020-Tab_Kandidaten[[#This Row],[GebJahr]]</f>
        <v>50</v>
      </c>
      <c r="H143" s="27">
        <f>ROUND(Tab_Kandidaten[[#This Row],[Alter]],-1)</f>
        <v>50</v>
      </c>
      <c r="I143" s="27">
        <f>QUOTIENT(Tab_Kandidaten[[#This Row],[ID]],100)</f>
        <v>5</v>
      </c>
      <c r="J143" s="27">
        <f>MOD(Tab_Kandidaten[[#This Row],[ID]],100)</f>
        <v>18</v>
      </c>
      <c r="K143" s="27">
        <f>Tab_Kandidaten[[#This Row],[Länge]]-LEN(SUBSTITUTE(Tab_Kandidaten[[#This Row],[Zeitungstext]],",",""))</f>
        <v>2</v>
      </c>
    </row>
    <row r="144" spans="2:11" x14ac:dyDescent="0.25">
      <c r="B144" t="s">
        <v>105</v>
      </c>
      <c r="C144">
        <f>LEN(Tab_Kandidaten[[#This Row],[Zeitungstext]])</f>
        <v>66</v>
      </c>
      <c r="D144">
        <f>VALUE(MID(Tab_Kandidaten[[#This Row],[Zeitungstext]],1,3))</f>
        <v>519</v>
      </c>
      <c r="E144" s="27" t="str">
        <f>MID(Tab_Kandidaten[[#This Row],[Zeitungstext]],5,Tab_Kandidaten[[#This Row],[Länge]]-9)</f>
        <v>Wilfert-Zimmermann, Eva, Assistentin der Geschäftsleitung</v>
      </c>
      <c r="F144" s="27">
        <f>VALUE(MID(Tab_Kandidaten[[#This Row],[Zeitungstext]],Tab_Kandidaten[[#This Row],[Länge]]-3,4))</f>
        <v>1955</v>
      </c>
      <c r="G144" s="27">
        <f>2020-Tab_Kandidaten[[#This Row],[GebJahr]]</f>
        <v>65</v>
      </c>
      <c r="H144" s="27">
        <f>ROUND(Tab_Kandidaten[[#This Row],[Alter]],-1)</f>
        <v>70</v>
      </c>
      <c r="I144" s="27">
        <f>QUOTIENT(Tab_Kandidaten[[#This Row],[ID]],100)</f>
        <v>5</v>
      </c>
      <c r="J144" s="27">
        <f>MOD(Tab_Kandidaten[[#This Row],[ID]],100)</f>
        <v>19</v>
      </c>
      <c r="K144" s="27">
        <f>Tab_Kandidaten[[#This Row],[Länge]]-LEN(SUBSTITUTE(Tab_Kandidaten[[#This Row],[Zeitungstext]],",",""))</f>
        <v>2</v>
      </c>
    </row>
    <row r="145" spans="2:11" x14ac:dyDescent="0.25">
      <c r="B145" t="s">
        <v>106</v>
      </c>
      <c r="C145">
        <f>LEN(Tab_Kandidaten[[#This Row],[Zeitungstext]])</f>
        <v>51</v>
      </c>
      <c r="D145">
        <f>VALUE(MID(Tab_Kandidaten[[#This Row],[Zeitungstext]],1,3))</f>
        <v>520</v>
      </c>
      <c r="E145" s="27" t="str">
        <f>MID(Tab_Kandidaten[[#This Row],[Zeitungstext]],5,Tab_Kandidaten[[#This Row],[Länge]]-9)</f>
        <v>Kampschulte, Peter, Schauspieler, Kreisrat</v>
      </c>
      <c r="F145" s="27">
        <f>VALUE(MID(Tab_Kandidaten[[#This Row],[Zeitungstext]],Tab_Kandidaten[[#This Row],[Länge]]-3,4))</f>
        <v>1962</v>
      </c>
      <c r="G145" s="27">
        <f>2020-Tab_Kandidaten[[#This Row],[GebJahr]]</f>
        <v>58</v>
      </c>
      <c r="H145" s="27">
        <f>ROUND(Tab_Kandidaten[[#This Row],[Alter]],-1)</f>
        <v>60</v>
      </c>
      <c r="I145" s="27">
        <f>QUOTIENT(Tab_Kandidaten[[#This Row],[ID]],100)</f>
        <v>5</v>
      </c>
      <c r="J145" s="27">
        <f>MOD(Tab_Kandidaten[[#This Row],[ID]],100)</f>
        <v>20</v>
      </c>
      <c r="K145" s="27">
        <f>Tab_Kandidaten[[#This Row],[Länge]]-LEN(SUBSTITUTE(Tab_Kandidaten[[#This Row],[Zeitungstext]],",",""))</f>
        <v>3</v>
      </c>
    </row>
    <row r="146" spans="2:11" x14ac:dyDescent="0.25">
      <c r="B146" t="s">
        <v>107</v>
      </c>
      <c r="C146">
        <f>LEN(Tab_Kandidaten[[#This Row],[Zeitungstext]])</f>
        <v>42</v>
      </c>
      <c r="D146">
        <f>VALUE(MID(Tab_Kandidaten[[#This Row],[Zeitungstext]],1,3))</f>
        <v>521</v>
      </c>
      <c r="E146" s="27" t="str">
        <f>MID(Tab_Kandidaten[[#This Row],[Zeitungstext]],5,Tab_Kandidaten[[#This Row],[Länge]]-9)</f>
        <v>Hermann, Jacqueline, Arzthelferin</v>
      </c>
      <c r="F146" s="27">
        <f>VALUE(MID(Tab_Kandidaten[[#This Row],[Zeitungstext]],Tab_Kandidaten[[#This Row],[Länge]]-3,4))</f>
        <v>1967</v>
      </c>
      <c r="G146" s="27">
        <f>2020-Tab_Kandidaten[[#This Row],[GebJahr]]</f>
        <v>53</v>
      </c>
      <c r="H146" s="27">
        <f>ROUND(Tab_Kandidaten[[#This Row],[Alter]],-1)</f>
        <v>50</v>
      </c>
      <c r="I146" s="27">
        <f>QUOTIENT(Tab_Kandidaten[[#This Row],[ID]],100)</f>
        <v>5</v>
      </c>
      <c r="J146" s="27">
        <f>MOD(Tab_Kandidaten[[#This Row],[ID]],100)</f>
        <v>21</v>
      </c>
      <c r="K146" s="27">
        <f>Tab_Kandidaten[[#This Row],[Länge]]-LEN(SUBSTITUTE(Tab_Kandidaten[[#This Row],[Zeitungstext]],",",""))</f>
        <v>2</v>
      </c>
    </row>
    <row r="147" spans="2:11" x14ac:dyDescent="0.25">
      <c r="B147" t="s">
        <v>108</v>
      </c>
      <c r="C147">
        <f>LEN(Tab_Kandidaten[[#This Row],[Zeitungstext]])</f>
        <v>64</v>
      </c>
      <c r="D147">
        <f>VALUE(MID(Tab_Kandidaten[[#This Row],[Zeitungstext]],1,3))</f>
        <v>522</v>
      </c>
      <c r="E147" s="27" t="str">
        <f>MID(Tab_Kandidaten[[#This Row],[Zeitungstext]],5,Tab_Kandidaten[[#This Row],[Länge]]-9)</f>
        <v>Willutzki, Frank, Verkäufer Land-Forst-u. Gartentechnik</v>
      </c>
      <c r="F147" s="27">
        <f>VALUE(MID(Tab_Kandidaten[[#This Row],[Zeitungstext]],Tab_Kandidaten[[#This Row],[Länge]]-3,4))</f>
        <v>1978</v>
      </c>
      <c r="G147" s="27">
        <f>2020-Tab_Kandidaten[[#This Row],[GebJahr]]</f>
        <v>42</v>
      </c>
      <c r="H147" s="27">
        <f>ROUND(Tab_Kandidaten[[#This Row],[Alter]],-1)</f>
        <v>40</v>
      </c>
      <c r="I147" s="27">
        <f>QUOTIENT(Tab_Kandidaten[[#This Row],[ID]],100)</f>
        <v>5</v>
      </c>
      <c r="J147" s="27">
        <f>MOD(Tab_Kandidaten[[#This Row],[ID]],100)</f>
        <v>22</v>
      </c>
      <c r="K147" s="27">
        <f>Tab_Kandidaten[[#This Row],[Länge]]-LEN(SUBSTITUTE(Tab_Kandidaten[[#This Row],[Zeitungstext]],",",""))</f>
        <v>2</v>
      </c>
    </row>
    <row r="148" spans="2:11" x14ac:dyDescent="0.25">
      <c r="B148" t="s">
        <v>109</v>
      </c>
      <c r="C148">
        <f>LEN(Tab_Kandidaten[[#This Row],[Zeitungstext]])</f>
        <v>57</v>
      </c>
      <c r="D148">
        <f>VALUE(MID(Tab_Kandidaten[[#This Row],[Zeitungstext]],1,3))</f>
        <v>523</v>
      </c>
      <c r="E148" s="27" t="str">
        <f>MID(Tab_Kandidaten[[#This Row],[Zeitungstext]],5,Tab_Kandidaten[[#This Row],[Länge]]-9)</f>
        <v>Scheffler, Cäcilia, Vorstand Kommunalunternehmen</v>
      </c>
      <c r="F148" s="27">
        <f>VALUE(MID(Tab_Kandidaten[[#This Row],[Zeitungstext]],Tab_Kandidaten[[#This Row],[Länge]]-3,4))</f>
        <v>1963</v>
      </c>
      <c r="G148" s="27">
        <f>2020-Tab_Kandidaten[[#This Row],[GebJahr]]</f>
        <v>57</v>
      </c>
      <c r="H148" s="27">
        <f>ROUND(Tab_Kandidaten[[#This Row],[Alter]],-1)</f>
        <v>60</v>
      </c>
      <c r="I148" s="27">
        <f>QUOTIENT(Tab_Kandidaten[[#This Row],[ID]],100)</f>
        <v>5</v>
      </c>
      <c r="J148" s="27">
        <f>MOD(Tab_Kandidaten[[#This Row],[ID]],100)</f>
        <v>23</v>
      </c>
      <c r="K148" s="27">
        <f>Tab_Kandidaten[[#This Row],[Länge]]-LEN(SUBSTITUTE(Tab_Kandidaten[[#This Row],[Zeitungstext]],",",""))</f>
        <v>2</v>
      </c>
    </row>
    <row r="149" spans="2:11" x14ac:dyDescent="0.25">
      <c r="B149" t="s">
        <v>110</v>
      </c>
      <c r="C149">
        <f>LEN(Tab_Kandidaten[[#This Row],[Zeitungstext]])</f>
        <v>62</v>
      </c>
      <c r="D149">
        <f>VALUE(MID(Tab_Kandidaten[[#This Row],[Zeitungstext]],1,3))</f>
        <v>524</v>
      </c>
      <c r="E149" s="27" t="str">
        <f>MID(Tab_Kandidaten[[#This Row],[Zeitungstext]],5,Tab_Kandidaten[[#This Row],[Länge]]-9)</f>
        <v>Past, Dieter, Med.-technischer Laboratoriumsassistent</v>
      </c>
      <c r="F149" s="27">
        <f>VALUE(MID(Tab_Kandidaten[[#This Row],[Zeitungstext]],Tab_Kandidaten[[#This Row],[Länge]]-3,4))</f>
        <v>1959</v>
      </c>
      <c r="G149" s="27">
        <f>2020-Tab_Kandidaten[[#This Row],[GebJahr]]</f>
        <v>61</v>
      </c>
      <c r="H149" s="27">
        <f>ROUND(Tab_Kandidaten[[#This Row],[Alter]],-1)</f>
        <v>60</v>
      </c>
      <c r="I149" s="27">
        <f>QUOTIENT(Tab_Kandidaten[[#This Row],[ID]],100)</f>
        <v>5</v>
      </c>
      <c r="J149" s="27">
        <f>MOD(Tab_Kandidaten[[#This Row],[ID]],100)</f>
        <v>24</v>
      </c>
      <c r="K149" s="27">
        <f>Tab_Kandidaten[[#This Row],[Länge]]-LEN(SUBSTITUTE(Tab_Kandidaten[[#This Row],[Zeitungstext]],",",""))</f>
        <v>2</v>
      </c>
    </row>
    <row r="150" spans="2:11" x14ac:dyDescent="0.25">
      <c r="B150" t="s">
        <v>111</v>
      </c>
      <c r="C150">
        <f>LEN(Tab_Kandidaten[[#This Row],[Zeitungstext]])</f>
        <v>41</v>
      </c>
      <c r="D150">
        <f>VALUE(MID(Tab_Kandidaten[[#This Row],[Zeitungstext]],1,3))</f>
        <v>525</v>
      </c>
      <c r="E150" s="27" t="str">
        <f>MID(Tab_Kandidaten[[#This Row],[Zeitungstext]],5,Tab_Kandidaten[[#This Row],[Länge]]-9)</f>
        <v>Spindler, Elke, Krankenschwester</v>
      </c>
      <c r="F150" s="27">
        <f>VALUE(MID(Tab_Kandidaten[[#This Row],[Zeitungstext]],Tab_Kandidaten[[#This Row],[Länge]]-3,4))</f>
        <v>1964</v>
      </c>
      <c r="G150" s="27">
        <f>2020-Tab_Kandidaten[[#This Row],[GebJahr]]</f>
        <v>56</v>
      </c>
      <c r="H150" s="27">
        <f>ROUND(Tab_Kandidaten[[#This Row],[Alter]],-1)</f>
        <v>60</v>
      </c>
      <c r="I150" s="27">
        <f>QUOTIENT(Tab_Kandidaten[[#This Row],[ID]],100)</f>
        <v>5</v>
      </c>
      <c r="J150" s="27">
        <f>MOD(Tab_Kandidaten[[#This Row],[ID]],100)</f>
        <v>25</v>
      </c>
      <c r="K150" s="27">
        <f>Tab_Kandidaten[[#This Row],[Länge]]-LEN(SUBSTITUTE(Tab_Kandidaten[[#This Row],[Zeitungstext]],",",""))</f>
        <v>2</v>
      </c>
    </row>
    <row r="151" spans="2:11" x14ac:dyDescent="0.25">
      <c r="B151" t="s">
        <v>112</v>
      </c>
      <c r="C151">
        <f>LEN(Tab_Kandidaten[[#This Row],[Zeitungstext]])</f>
        <v>49</v>
      </c>
      <c r="D151">
        <f>VALUE(MID(Tab_Kandidaten[[#This Row],[Zeitungstext]],1,3))</f>
        <v>526</v>
      </c>
      <c r="E151" s="27" t="str">
        <f>MID(Tab_Kandidaten[[#This Row],[Zeitungstext]],5,Tab_Kandidaten[[#This Row],[Länge]]-9)</f>
        <v>Thiel, Axel, selbstständiger Kraftfahrer</v>
      </c>
      <c r="F151" s="27">
        <f>VALUE(MID(Tab_Kandidaten[[#This Row],[Zeitungstext]],Tab_Kandidaten[[#This Row],[Länge]]-3,4))</f>
        <v>1967</v>
      </c>
      <c r="G151" s="27">
        <f>2020-Tab_Kandidaten[[#This Row],[GebJahr]]</f>
        <v>53</v>
      </c>
      <c r="H151" s="27">
        <f>ROUND(Tab_Kandidaten[[#This Row],[Alter]],-1)</f>
        <v>50</v>
      </c>
      <c r="I151" s="27">
        <f>QUOTIENT(Tab_Kandidaten[[#This Row],[ID]],100)</f>
        <v>5</v>
      </c>
      <c r="J151" s="27">
        <f>MOD(Tab_Kandidaten[[#This Row],[ID]],100)</f>
        <v>26</v>
      </c>
      <c r="K151" s="27">
        <f>Tab_Kandidaten[[#This Row],[Länge]]-LEN(SUBSTITUTE(Tab_Kandidaten[[#This Row],[Zeitungstext]],",",""))</f>
        <v>2</v>
      </c>
    </row>
    <row r="152" spans="2:11" x14ac:dyDescent="0.25">
      <c r="B152" t="s">
        <v>113</v>
      </c>
      <c r="C152">
        <f>LEN(Tab_Kandidaten[[#This Row],[Zeitungstext]])</f>
        <v>39</v>
      </c>
      <c r="D152">
        <f>VALUE(MID(Tab_Kandidaten[[#This Row],[Zeitungstext]],1,3))</f>
        <v>527</v>
      </c>
      <c r="E152" s="27" t="str">
        <f>MID(Tab_Kandidaten[[#This Row],[Zeitungstext]],5,Tab_Kandidaten[[#This Row],[Länge]]-9)</f>
        <v>Dr. Vente, Cornelia, Richterin</v>
      </c>
      <c r="F152" s="27">
        <f>VALUE(MID(Tab_Kandidaten[[#This Row],[Zeitungstext]],Tab_Kandidaten[[#This Row],[Länge]]-3,4))</f>
        <v>1975</v>
      </c>
      <c r="G152" s="27">
        <f>2020-Tab_Kandidaten[[#This Row],[GebJahr]]</f>
        <v>45</v>
      </c>
      <c r="H152" s="27">
        <f>ROUND(Tab_Kandidaten[[#This Row],[Alter]],-1)</f>
        <v>50</v>
      </c>
      <c r="I152" s="27">
        <f>QUOTIENT(Tab_Kandidaten[[#This Row],[ID]],100)</f>
        <v>5</v>
      </c>
      <c r="J152" s="27">
        <f>MOD(Tab_Kandidaten[[#This Row],[ID]],100)</f>
        <v>27</v>
      </c>
      <c r="K152" s="27">
        <f>Tab_Kandidaten[[#This Row],[Länge]]-LEN(SUBSTITUTE(Tab_Kandidaten[[#This Row],[Zeitungstext]],",",""))</f>
        <v>2</v>
      </c>
    </row>
    <row r="153" spans="2:11" x14ac:dyDescent="0.25">
      <c r="B153" t="s">
        <v>114</v>
      </c>
      <c r="C153">
        <f>LEN(Tab_Kandidaten[[#This Row],[Zeitungstext]])</f>
        <v>68</v>
      </c>
      <c r="D153">
        <f>VALUE(MID(Tab_Kandidaten[[#This Row],[Zeitungstext]],1,3))</f>
        <v>528</v>
      </c>
      <c r="E153" s="27" t="str">
        <f>MID(Tab_Kandidaten[[#This Row],[Zeitungstext]],5,Tab_Kandidaten[[#This Row],[Länge]]-9)</f>
        <v>Thümling, Lukas, Fachinformatiker für Anwendungsentwicklung</v>
      </c>
      <c r="F153" s="27">
        <f>VALUE(MID(Tab_Kandidaten[[#This Row],[Zeitungstext]],Tab_Kandidaten[[#This Row],[Länge]]-3,4))</f>
        <v>1995</v>
      </c>
      <c r="G153" s="27">
        <f>2020-Tab_Kandidaten[[#This Row],[GebJahr]]</f>
        <v>25</v>
      </c>
      <c r="H153" s="27">
        <f>ROUND(Tab_Kandidaten[[#This Row],[Alter]],-1)</f>
        <v>30</v>
      </c>
      <c r="I153" s="27">
        <f>QUOTIENT(Tab_Kandidaten[[#This Row],[ID]],100)</f>
        <v>5</v>
      </c>
      <c r="J153" s="27">
        <f>MOD(Tab_Kandidaten[[#This Row],[ID]],100)</f>
        <v>28</v>
      </c>
      <c r="K153" s="27">
        <f>Tab_Kandidaten[[#This Row],[Länge]]-LEN(SUBSTITUTE(Tab_Kandidaten[[#This Row],[Zeitungstext]],",",""))</f>
        <v>2</v>
      </c>
    </row>
    <row r="154" spans="2:11" x14ac:dyDescent="0.25">
      <c r="B154" t="s">
        <v>115</v>
      </c>
      <c r="C154">
        <f>LEN(Tab_Kandidaten[[#This Row],[Zeitungstext]])</f>
        <v>52</v>
      </c>
      <c r="D154">
        <f>VALUE(MID(Tab_Kandidaten[[#This Row],[Zeitungstext]],1,3))</f>
        <v>529</v>
      </c>
      <c r="E154" s="27" t="str">
        <f>MID(Tab_Kandidaten[[#This Row],[Zeitungstext]],5,Tab_Kandidaten[[#This Row],[Länge]]-9)</f>
        <v>Wunder, Miriam, stellv. Pflegedienstleitung</v>
      </c>
      <c r="F154" s="27">
        <f>VALUE(MID(Tab_Kandidaten[[#This Row],[Zeitungstext]],Tab_Kandidaten[[#This Row],[Länge]]-3,4))</f>
        <v>1979</v>
      </c>
      <c r="G154" s="27">
        <f>2020-Tab_Kandidaten[[#This Row],[GebJahr]]</f>
        <v>41</v>
      </c>
      <c r="H154" s="27">
        <f>ROUND(Tab_Kandidaten[[#This Row],[Alter]],-1)</f>
        <v>40</v>
      </c>
      <c r="I154" s="27">
        <f>QUOTIENT(Tab_Kandidaten[[#This Row],[ID]],100)</f>
        <v>5</v>
      </c>
      <c r="J154" s="27">
        <f>MOD(Tab_Kandidaten[[#This Row],[ID]],100)</f>
        <v>29</v>
      </c>
      <c r="K154" s="27">
        <f>Tab_Kandidaten[[#This Row],[Länge]]-LEN(SUBSTITUTE(Tab_Kandidaten[[#This Row],[Zeitungstext]],",",""))</f>
        <v>2</v>
      </c>
    </row>
    <row r="155" spans="2:11" x14ac:dyDescent="0.25">
      <c r="B155" t="s">
        <v>116</v>
      </c>
      <c r="C155">
        <f>LEN(Tab_Kandidaten[[#This Row],[Zeitungstext]])</f>
        <v>45</v>
      </c>
      <c r="D155">
        <f>VALUE(MID(Tab_Kandidaten[[#This Row],[Zeitungstext]],1,3))</f>
        <v>530</v>
      </c>
      <c r="E155" s="27" t="str">
        <f>MID(Tab_Kandidaten[[#This Row],[Zeitungstext]],5,Tab_Kandidaten[[#This Row],[Länge]]-9)</f>
        <v>Scheufler, Peter, Dipl.-Tanzpädagoge</v>
      </c>
      <c r="F155" s="27">
        <f>VALUE(MID(Tab_Kandidaten[[#This Row],[Zeitungstext]],Tab_Kandidaten[[#This Row],[Länge]]-3,4))</f>
        <v>1984</v>
      </c>
      <c r="G155" s="27">
        <f>2020-Tab_Kandidaten[[#This Row],[GebJahr]]</f>
        <v>36</v>
      </c>
      <c r="H155" s="27">
        <f>ROUND(Tab_Kandidaten[[#This Row],[Alter]],-1)</f>
        <v>40</v>
      </c>
      <c r="I155" s="27">
        <f>QUOTIENT(Tab_Kandidaten[[#This Row],[ID]],100)</f>
        <v>5</v>
      </c>
      <c r="J155" s="27">
        <f>MOD(Tab_Kandidaten[[#This Row],[ID]],100)</f>
        <v>30</v>
      </c>
      <c r="K155" s="27">
        <f>Tab_Kandidaten[[#This Row],[Länge]]-LEN(SUBSTITUTE(Tab_Kandidaten[[#This Row],[Zeitungstext]],",",""))</f>
        <v>2</v>
      </c>
    </row>
    <row r="156" spans="2:11" x14ac:dyDescent="0.25">
      <c r="B156" t="s">
        <v>117</v>
      </c>
      <c r="C156">
        <f>LEN(Tab_Kandidaten[[#This Row],[Zeitungstext]])</f>
        <v>34</v>
      </c>
      <c r="D156">
        <f>VALUE(MID(Tab_Kandidaten[[#This Row],[Zeitungstext]],1,3))</f>
        <v>531</v>
      </c>
      <c r="E156" s="27" t="str">
        <f>MID(Tab_Kandidaten[[#This Row],[Zeitungstext]],5,Tab_Kandidaten[[#This Row],[Länge]]-9)</f>
        <v>Feustel, Doris, Rentnerin</v>
      </c>
      <c r="F156" s="27">
        <f>VALUE(MID(Tab_Kandidaten[[#This Row],[Zeitungstext]],Tab_Kandidaten[[#This Row],[Länge]]-3,4))</f>
        <v>1949</v>
      </c>
      <c r="G156" s="27">
        <f>2020-Tab_Kandidaten[[#This Row],[GebJahr]]</f>
        <v>71</v>
      </c>
      <c r="H156" s="27">
        <f>ROUND(Tab_Kandidaten[[#This Row],[Alter]],-1)</f>
        <v>70</v>
      </c>
      <c r="I156" s="27">
        <f>QUOTIENT(Tab_Kandidaten[[#This Row],[ID]],100)</f>
        <v>5</v>
      </c>
      <c r="J156" s="27">
        <f>MOD(Tab_Kandidaten[[#This Row],[ID]],100)</f>
        <v>31</v>
      </c>
      <c r="K156" s="27">
        <f>Tab_Kandidaten[[#This Row],[Länge]]-LEN(SUBSTITUTE(Tab_Kandidaten[[#This Row],[Zeitungstext]],",",""))</f>
        <v>2</v>
      </c>
    </row>
    <row r="157" spans="2:11" x14ac:dyDescent="0.25">
      <c r="B157" t="s">
        <v>118</v>
      </c>
      <c r="C157">
        <f>LEN(Tab_Kandidaten[[#This Row],[Zeitungstext]])</f>
        <v>54</v>
      </c>
      <c r="D157">
        <f>VALUE(MID(Tab_Kandidaten[[#This Row],[Zeitungstext]],1,3))</f>
        <v>532</v>
      </c>
      <c r="E157" s="27" t="str">
        <f>MID(Tab_Kandidaten[[#This Row],[Zeitungstext]],5,Tab_Kandidaten[[#This Row],[Länge]]-9)</f>
        <v>Neuendorf, Christoph, CNC-Maschineneinrichter</v>
      </c>
      <c r="F157" s="27">
        <f>VALUE(MID(Tab_Kandidaten[[#This Row],[Zeitungstext]],Tab_Kandidaten[[#This Row],[Länge]]-3,4))</f>
        <v>1969</v>
      </c>
      <c r="G157" s="27">
        <f>2020-Tab_Kandidaten[[#This Row],[GebJahr]]</f>
        <v>51</v>
      </c>
      <c r="H157" s="27">
        <f>ROUND(Tab_Kandidaten[[#This Row],[Alter]],-1)</f>
        <v>50</v>
      </c>
      <c r="I157" s="27">
        <f>QUOTIENT(Tab_Kandidaten[[#This Row],[ID]],100)</f>
        <v>5</v>
      </c>
      <c r="J157" s="27">
        <f>MOD(Tab_Kandidaten[[#This Row],[ID]],100)</f>
        <v>32</v>
      </c>
      <c r="K157" s="27">
        <f>Tab_Kandidaten[[#This Row],[Länge]]-LEN(SUBSTITUTE(Tab_Kandidaten[[#This Row],[Zeitungstext]],",",""))</f>
        <v>2</v>
      </c>
    </row>
    <row r="158" spans="2:11" x14ac:dyDescent="0.25">
      <c r="B158" t="s">
        <v>119</v>
      </c>
      <c r="C158">
        <f>LEN(Tab_Kandidaten[[#This Row],[Zeitungstext]])</f>
        <v>43</v>
      </c>
      <c r="D158">
        <f>VALUE(MID(Tab_Kandidaten[[#This Row],[Zeitungstext]],1,3))</f>
        <v>533</v>
      </c>
      <c r="E158" s="27" t="str">
        <f>MID(Tab_Kandidaten[[#This Row],[Zeitungstext]],5,Tab_Kandidaten[[#This Row],[Länge]]-9)</f>
        <v>Leibßle, Tatjana, M.Sc. Chemikerin</v>
      </c>
      <c r="F158" s="27">
        <f>VALUE(MID(Tab_Kandidaten[[#This Row],[Zeitungstext]],Tab_Kandidaten[[#This Row],[Länge]]-3,4))</f>
        <v>1987</v>
      </c>
      <c r="G158" s="27">
        <f>2020-Tab_Kandidaten[[#This Row],[GebJahr]]</f>
        <v>33</v>
      </c>
      <c r="H158" s="27">
        <f>ROUND(Tab_Kandidaten[[#This Row],[Alter]],-1)</f>
        <v>30</v>
      </c>
      <c r="I158" s="27">
        <f>QUOTIENT(Tab_Kandidaten[[#This Row],[ID]],100)</f>
        <v>5</v>
      </c>
      <c r="J158" s="27">
        <f>MOD(Tab_Kandidaten[[#This Row],[ID]],100)</f>
        <v>33</v>
      </c>
      <c r="K158" s="27">
        <f>Tab_Kandidaten[[#This Row],[Länge]]-LEN(SUBSTITUTE(Tab_Kandidaten[[#This Row],[Zeitungstext]],",",""))</f>
        <v>2</v>
      </c>
    </row>
    <row r="159" spans="2:11" x14ac:dyDescent="0.25">
      <c r="B159" t="s">
        <v>120</v>
      </c>
      <c r="C159">
        <f>LEN(Tab_Kandidaten[[#This Row],[Zeitungstext]])</f>
        <v>51</v>
      </c>
      <c r="D159">
        <f>VALUE(MID(Tab_Kandidaten[[#This Row],[Zeitungstext]],1,3))</f>
        <v>534</v>
      </c>
      <c r="E159" s="27" t="str">
        <f>MID(Tab_Kandidaten[[#This Row],[Zeitungstext]],5,Tab_Kandidaten[[#This Row],[Länge]]-9)</f>
        <v>Schindelmann, Pablo, M.Sc. Geschäftsführer</v>
      </c>
      <c r="F159" s="27">
        <f>VALUE(MID(Tab_Kandidaten[[#This Row],[Zeitungstext]],Tab_Kandidaten[[#This Row],[Länge]]-3,4))</f>
        <v>1967</v>
      </c>
      <c r="G159" s="27">
        <f>2020-Tab_Kandidaten[[#This Row],[GebJahr]]</f>
        <v>53</v>
      </c>
      <c r="H159" s="27">
        <f>ROUND(Tab_Kandidaten[[#This Row],[Alter]],-1)</f>
        <v>50</v>
      </c>
      <c r="I159" s="27">
        <f>QUOTIENT(Tab_Kandidaten[[#This Row],[ID]],100)</f>
        <v>5</v>
      </c>
      <c r="J159" s="27">
        <f>MOD(Tab_Kandidaten[[#This Row],[ID]],100)</f>
        <v>34</v>
      </c>
      <c r="K159" s="27">
        <f>Tab_Kandidaten[[#This Row],[Länge]]-LEN(SUBSTITUTE(Tab_Kandidaten[[#This Row],[Zeitungstext]],",",""))</f>
        <v>2</v>
      </c>
    </row>
    <row r="160" spans="2:11" x14ac:dyDescent="0.25">
      <c r="B160" t="s">
        <v>121</v>
      </c>
      <c r="C160">
        <f>LEN(Tab_Kandidaten[[#This Row],[Zeitungstext]])</f>
        <v>41</v>
      </c>
      <c r="D160">
        <f>VALUE(MID(Tab_Kandidaten[[#This Row],[Zeitungstext]],1,3))</f>
        <v>535</v>
      </c>
      <c r="E160" s="27" t="str">
        <f>MID(Tab_Kandidaten[[#This Row],[Zeitungstext]],5,Tab_Kandidaten[[#This Row],[Länge]]-9)</f>
        <v>Herzing, Andrea, Ergotherapeutin</v>
      </c>
      <c r="F160" s="27">
        <f>VALUE(MID(Tab_Kandidaten[[#This Row],[Zeitungstext]],Tab_Kandidaten[[#This Row],[Länge]]-3,4))</f>
        <v>1974</v>
      </c>
      <c r="G160" s="27">
        <f>2020-Tab_Kandidaten[[#This Row],[GebJahr]]</f>
        <v>46</v>
      </c>
      <c r="H160" s="27">
        <f>ROUND(Tab_Kandidaten[[#This Row],[Alter]],-1)</f>
        <v>50</v>
      </c>
      <c r="I160" s="27">
        <f>QUOTIENT(Tab_Kandidaten[[#This Row],[ID]],100)</f>
        <v>5</v>
      </c>
      <c r="J160" s="27">
        <f>MOD(Tab_Kandidaten[[#This Row],[ID]],100)</f>
        <v>35</v>
      </c>
      <c r="K160" s="27">
        <f>Tab_Kandidaten[[#This Row],[Länge]]-LEN(SUBSTITUTE(Tab_Kandidaten[[#This Row],[Zeitungstext]],",",""))</f>
        <v>2</v>
      </c>
    </row>
    <row r="161" spans="2:11" x14ac:dyDescent="0.25">
      <c r="B161" t="s">
        <v>122</v>
      </c>
      <c r="C161">
        <f>LEN(Tab_Kandidaten[[#This Row],[Zeitungstext]])</f>
        <v>34</v>
      </c>
      <c r="D161">
        <f>VALUE(MID(Tab_Kandidaten[[#This Row],[Zeitungstext]],1,3))</f>
        <v>536</v>
      </c>
      <c r="E161" s="27" t="str">
        <f>MID(Tab_Kandidaten[[#This Row],[Zeitungstext]],5,Tab_Kandidaten[[#This Row],[Länge]]-9)</f>
        <v>Endl, Klaus, Beamter a.D.</v>
      </c>
      <c r="F161" s="27">
        <f>VALUE(MID(Tab_Kandidaten[[#This Row],[Zeitungstext]],Tab_Kandidaten[[#This Row],[Länge]]-3,4))</f>
        <v>1949</v>
      </c>
      <c r="G161" s="27">
        <f>2020-Tab_Kandidaten[[#This Row],[GebJahr]]</f>
        <v>71</v>
      </c>
      <c r="H161" s="27">
        <f>ROUND(Tab_Kandidaten[[#This Row],[Alter]],-1)</f>
        <v>70</v>
      </c>
      <c r="I161" s="27">
        <f>QUOTIENT(Tab_Kandidaten[[#This Row],[ID]],100)</f>
        <v>5</v>
      </c>
      <c r="J161" s="27">
        <f>MOD(Tab_Kandidaten[[#This Row],[ID]],100)</f>
        <v>36</v>
      </c>
      <c r="K161" s="27">
        <f>Tab_Kandidaten[[#This Row],[Länge]]-LEN(SUBSTITUTE(Tab_Kandidaten[[#This Row],[Zeitungstext]],",",""))</f>
        <v>2</v>
      </c>
    </row>
    <row r="162" spans="2:11" x14ac:dyDescent="0.25">
      <c r="B162" t="s">
        <v>123</v>
      </c>
      <c r="C162">
        <f>LEN(Tab_Kandidaten[[#This Row],[Zeitungstext]])</f>
        <v>48</v>
      </c>
      <c r="D162">
        <f>VALUE(MID(Tab_Kandidaten[[#This Row],[Zeitungstext]],1,3))</f>
        <v>537</v>
      </c>
      <c r="E162" s="27" t="str">
        <f>MID(Tab_Kandidaten[[#This Row],[Zeitungstext]],5,Tab_Kandidaten[[#This Row],[Länge]]-9)</f>
        <v>Pinkas, Sabine, DipI.-Verwaltungswirtin</v>
      </c>
      <c r="F162" s="27">
        <f>VALUE(MID(Tab_Kandidaten[[#This Row],[Zeitungstext]],Tab_Kandidaten[[#This Row],[Länge]]-3,4))</f>
        <v>1956</v>
      </c>
      <c r="G162" s="27">
        <f>2020-Tab_Kandidaten[[#This Row],[GebJahr]]</f>
        <v>64</v>
      </c>
      <c r="H162" s="27">
        <f>ROUND(Tab_Kandidaten[[#This Row],[Alter]],-1)</f>
        <v>60</v>
      </c>
      <c r="I162" s="27">
        <f>QUOTIENT(Tab_Kandidaten[[#This Row],[ID]],100)</f>
        <v>5</v>
      </c>
      <c r="J162" s="27">
        <f>MOD(Tab_Kandidaten[[#This Row],[ID]],100)</f>
        <v>37</v>
      </c>
      <c r="K162" s="27">
        <f>Tab_Kandidaten[[#This Row],[Länge]]-LEN(SUBSTITUTE(Tab_Kandidaten[[#This Row],[Zeitungstext]],",",""))</f>
        <v>2</v>
      </c>
    </row>
    <row r="163" spans="2:11" x14ac:dyDescent="0.25">
      <c r="B163" t="s">
        <v>124</v>
      </c>
      <c r="C163">
        <f>LEN(Tab_Kandidaten[[#This Row],[Zeitungstext]])</f>
        <v>55</v>
      </c>
      <c r="D163">
        <f>VALUE(MID(Tab_Kandidaten[[#This Row],[Zeitungstext]],1,3))</f>
        <v>538</v>
      </c>
      <c r="E163" s="27" t="str">
        <f>MID(Tab_Kandidaten[[#This Row],[Zeitungstext]],5,Tab_Kandidaten[[#This Row],[Länge]]-9)</f>
        <v>Darkow, Heinz-Dieter, Dipl.-Ing. (TU), Rentner</v>
      </c>
      <c r="F163" s="27">
        <f>VALUE(MID(Tab_Kandidaten[[#This Row],[Zeitungstext]],Tab_Kandidaten[[#This Row],[Länge]]-3,4))</f>
        <v>1943</v>
      </c>
      <c r="G163" s="27">
        <f>2020-Tab_Kandidaten[[#This Row],[GebJahr]]</f>
        <v>77</v>
      </c>
      <c r="H163" s="27">
        <f>ROUND(Tab_Kandidaten[[#This Row],[Alter]],-1)</f>
        <v>80</v>
      </c>
      <c r="I163" s="27">
        <f>QUOTIENT(Tab_Kandidaten[[#This Row],[ID]],100)</f>
        <v>5</v>
      </c>
      <c r="J163" s="27">
        <f>MOD(Tab_Kandidaten[[#This Row],[ID]],100)</f>
        <v>38</v>
      </c>
      <c r="K163" s="27">
        <f>Tab_Kandidaten[[#This Row],[Länge]]-LEN(SUBSTITUTE(Tab_Kandidaten[[#This Row],[Zeitungstext]],",",""))</f>
        <v>3</v>
      </c>
    </row>
    <row r="164" spans="2:11" x14ac:dyDescent="0.25">
      <c r="B164" t="s">
        <v>125</v>
      </c>
      <c r="C164">
        <f>LEN(Tab_Kandidaten[[#This Row],[Zeitungstext]])</f>
        <v>39</v>
      </c>
      <c r="D164">
        <f>VALUE(MID(Tab_Kandidaten[[#This Row],[Zeitungstext]],1,3))</f>
        <v>539</v>
      </c>
      <c r="E164" s="27" t="str">
        <f>MID(Tab_Kandidaten[[#This Row],[Zeitungstext]],5,Tab_Kandidaten[[#This Row],[Länge]]-9)</f>
        <v>Oberländer, Lena, Teamleiterin</v>
      </c>
      <c r="F164" s="27">
        <f>VALUE(MID(Tab_Kandidaten[[#This Row],[Zeitungstext]],Tab_Kandidaten[[#This Row],[Länge]]-3,4))</f>
        <v>1982</v>
      </c>
      <c r="G164" s="27">
        <f>2020-Tab_Kandidaten[[#This Row],[GebJahr]]</f>
        <v>38</v>
      </c>
      <c r="H164" s="27">
        <f>ROUND(Tab_Kandidaten[[#This Row],[Alter]],-1)</f>
        <v>40</v>
      </c>
      <c r="I164" s="27">
        <f>QUOTIENT(Tab_Kandidaten[[#This Row],[ID]],100)</f>
        <v>5</v>
      </c>
      <c r="J164" s="27">
        <f>MOD(Tab_Kandidaten[[#This Row],[ID]],100)</f>
        <v>39</v>
      </c>
      <c r="K164" s="27">
        <f>Tab_Kandidaten[[#This Row],[Länge]]-LEN(SUBSTITUTE(Tab_Kandidaten[[#This Row],[Zeitungstext]],",",""))</f>
        <v>2</v>
      </c>
    </row>
    <row r="165" spans="2:11" x14ac:dyDescent="0.25">
      <c r="B165" t="s">
        <v>126</v>
      </c>
      <c r="C165">
        <f>LEN(Tab_Kandidaten[[#This Row],[Zeitungstext]])</f>
        <v>39</v>
      </c>
      <c r="D165">
        <f>VALUE(MID(Tab_Kandidaten[[#This Row],[Zeitungstext]],1,3))</f>
        <v>540</v>
      </c>
      <c r="E165" s="27" t="str">
        <f>MID(Tab_Kandidaten[[#This Row],[Zeitungstext]],5,Tab_Kandidaten[[#This Row],[Länge]]-9)</f>
        <v>Sipic, Christian, Bürokaufmann</v>
      </c>
      <c r="F165" s="27">
        <f>VALUE(MID(Tab_Kandidaten[[#This Row],[Zeitungstext]],Tab_Kandidaten[[#This Row],[Länge]]-3,4))</f>
        <v>1976</v>
      </c>
      <c r="G165" s="27">
        <f>2020-Tab_Kandidaten[[#This Row],[GebJahr]]</f>
        <v>44</v>
      </c>
      <c r="H165" s="27">
        <f>ROUND(Tab_Kandidaten[[#This Row],[Alter]],-1)</f>
        <v>40</v>
      </c>
      <c r="I165" s="27">
        <f>QUOTIENT(Tab_Kandidaten[[#This Row],[ID]],100)</f>
        <v>5</v>
      </c>
      <c r="J165" s="27">
        <f>MOD(Tab_Kandidaten[[#This Row],[ID]],100)</f>
        <v>40</v>
      </c>
      <c r="K165" s="27">
        <f>Tab_Kandidaten[[#This Row],[Länge]]-LEN(SUBSTITUTE(Tab_Kandidaten[[#This Row],[Zeitungstext]],",",""))</f>
        <v>2</v>
      </c>
    </row>
    <row r="166" spans="2:11" x14ac:dyDescent="0.25">
      <c r="B166" t="s">
        <v>48</v>
      </c>
      <c r="C166">
        <f>LEN(Tab_Kandidaten[[#This Row],[Zeitungstext]])</f>
        <v>34</v>
      </c>
      <c r="D166">
        <f>VALUE(MID(Tab_Kandidaten[[#This Row],[Zeitungstext]],1,3))</f>
        <v>601</v>
      </c>
      <c r="E166" s="27" t="str">
        <f>MID(Tab_Kandidaten[[#This Row],[Zeitungstext]],5,Tab_Kandidaten[[#This Row],[Länge]]-9)</f>
        <v>Senf, Peter, Rechtsanwalt</v>
      </c>
      <c r="F166" s="27">
        <f>VALUE(MID(Tab_Kandidaten[[#This Row],[Zeitungstext]],Tab_Kandidaten[[#This Row],[Länge]]-3,4))</f>
        <v>1969</v>
      </c>
      <c r="G166" s="27">
        <f>2020-Tab_Kandidaten[[#This Row],[GebJahr]]</f>
        <v>51</v>
      </c>
      <c r="H166" s="27">
        <f>ROUND(Tab_Kandidaten[[#This Row],[Alter]],-1)</f>
        <v>50</v>
      </c>
      <c r="I166" s="27">
        <f>QUOTIENT(Tab_Kandidaten[[#This Row],[ID]],100)</f>
        <v>6</v>
      </c>
      <c r="J166" s="27">
        <f>MOD(Tab_Kandidaten[[#This Row],[ID]],100)</f>
        <v>1</v>
      </c>
      <c r="K166" s="27">
        <f>Tab_Kandidaten[[#This Row],[Länge]]-LEN(SUBSTITUTE(Tab_Kandidaten[[#This Row],[Zeitungstext]],",",""))</f>
        <v>2</v>
      </c>
    </row>
    <row r="167" spans="2:11" x14ac:dyDescent="0.25">
      <c r="B167" t="s">
        <v>49</v>
      </c>
      <c r="C167">
        <f>LEN(Tab_Kandidaten[[#This Row],[Zeitungstext]])</f>
        <v>48</v>
      </c>
      <c r="D167">
        <f>VALUE(MID(Tab_Kandidaten[[#This Row],[Zeitungstext]],1,3))</f>
        <v>602</v>
      </c>
      <c r="E167" s="27" t="str">
        <f>MID(Tab_Kandidaten[[#This Row],[Zeitungstext]],5,Tab_Kandidaten[[#This Row],[Länge]]-9)</f>
        <v>Späte, Dieter, Unternehmensberater i.R.</v>
      </c>
      <c r="F167" s="27">
        <f>VALUE(MID(Tab_Kandidaten[[#This Row],[Zeitungstext]],Tab_Kandidaten[[#This Row],[Länge]]-3,4))</f>
        <v>1950</v>
      </c>
      <c r="G167" s="27">
        <f>2020-Tab_Kandidaten[[#This Row],[GebJahr]]</f>
        <v>70</v>
      </c>
      <c r="H167" s="27">
        <f>ROUND(Tab_Kandidaten[[#This Row],[Alter]],-1)</f>
        <v>70</v>
      </c>
      <c r="I167" s="27">
        <f>QUOTIENT(Tab_Kandidaten[[#This Row],[ID]],100)</f>
        <v>6</v>
      </c>
      <c r="J167" s="27">
        <f>MOD(Tab_Kandidaten[[#This Row],[ID]],100)</f>
        <v>2</v>
      </c>
      <c r="K167" s="27">
        <f>Tab_Kandidaten[[#This Row],[Länge]]-LEN(SUBSTITUTE(Tab_Kandidaten[[#This Row],[Zeitungstext]],",",""))</f>
        <v>2</v>
      </c>
    </row>
    <row r="168" spans="2:11" x14ac:dyDescent="0.25">
      <c r="B168" t="s">
        <v>50</v>
      </c>
      <c r="C168">
        <f>LEN(Tab_Kandidaten[[#This Row],[Zeitungstext]])</f>
        <v>38</v>
      </c>
      <c r="D168">
        <f>VALUE(MID(Tab_Kandidaten[[#This Row],[Zeitungstext]],1,3))</f>
        <v>603</v>
      </c>
      <c r="E168" s="27" t="str">
        <f>MID(Tab_Kandidaten[[#This Row],[Zeitungstext]],5,Tab_Kandidaten[[#This Row],[Länge]]-9)</f>
        <v>Walther, Stefan, Betriebswirt</v>
      </c>
      <c r="F168" s="27">
        <f>VALUE(MID(Tab_Kandidaten[[#This Row],[Zeitungstext]],Tab_Kandidaten[[#This Row],[Länge]]-3,4))</f>
        <v>1961</v>
      </c>
      <c r="G168" s="27">
        <f>2020-Tab_Kandidaten[[#This Row],[GebJahr]]</f>
        <v>59</v>
      </c>
      <c r="H168" s="27">
        <f>ROUND(Tab_Kandidaten[[#This Row],[Alter]],-1)</f>
        <v>60</v>
      </c>
      <c r="I168" s="27">
        <f>QUOTIENT(Tab_Kandidaten[[#This Row],[ID]],100)</f>
        <v>6</v>
      </c>
      <c r="J168" s="27">
        <f>MOD(Tab_Kandidaten[[#This Row],[ID]],100)</f>
        <v>3</v>
      </c>
      <c r="K168" s="27">
        <f>Tab_Kandidaten[[#This Row],[Länge]]-LEN(SUBSTITUTE(Tab_Kandidaten[[#This Row],[Zeitungstext]],",",""))</f>
        <v>2</v>
      </c>
    </row>
    <row r="169" spans="2:11" x14ac:dyDescent="0.25">
      <c r="B169" t="s">
        <v>51</v>
      </c>
      <c r="C169">
        <f>LEN(Tab_Kandidaten[[#This Row],[Zeitungstext]])</f>
        <v>39</v>
      </c>
      <c r="D169">
        <f>VALUE(MID(Tab_Kandidaten[[#This Row],[Zeitungstext]],1,3))</f>
        <v>604</v>
      </c>
      <c r="E169" s="27" t="str">
        <f>MID(Tab_Kandidaten[[#This Row],[Zeitungstext]],5,Tab_Kandidaten[[#This Row],[Länge]]-9)</f>
        <v>Schübel, Ira, Friseurmeisterin</v>
      </c>
      <c r="F169" s="27">
        <f>VALUE(MID(Tab_Kandidaten[[#This Row],[Zeitungstext]],Tab_Kandidaten[[#This Row],[Länge]]-3,4))</f>
        <v>1966</v>
      </c>
      <c r="G169" s="27">
        <f>2020-Tab_Kandidaten[[#This Row],[GebJahr]]</f>
        <v>54</v>
      </c>
      <c r="H169" s="27">
        <f>ROUND(Tab_Kandidaten[[#This Row],[Alter]],-1)</f>
        <v>50</v>
      </c>
      <c r="I169" s="27">
        <f>QUOTIENT(Tab_Kandidaten[[#This Row],[ID]],100)</f>
        <v>6</v>
      </c>
      <c r="J169" s="27">
        <f>MOD(Tab_Kandidaten[[#This Row],[ID]],100)</f>
        <v>4</v>
      </c>
      <c r="K169" s="27">
        <f>Tab_Kandidaten[[#This Row],[Länge]]-LEN(SUBSTITUTE(Tab_Kandidaten[[#This Row],[Zeitungstext]],",",""))</f>
        <v>2</v>
      </c>
    </row>
    <row r="170" spans="2:11" x14ac:dyDescent="0.25">
      <c r="B170" t="s">
        <v>52</v>
      </c>
      <c r="C170">
        <f>LEN(Tab_Kandidaten[[#This Row],[Zeitungstext]])</f>
        <v>36</v>
      </c>
      <c r="D170">
        <f>VALUE(MID(Tab_Kandidaten[[#This Row],[Zeitungstext]],1,3))</f>
        <v>605</v>
      </c>
      <c r="E170" s="27" t="str">
        <f>MID(Tab_Kandidaten[[#This Row],[Zeitungstext]],5,Tab_Kandidaten[[#This Row],[Länge]]-9)</f>
        <v>Eichert, Lars, Rechtsanwalt</v>
      </c>
      <c r="F170" s="27">
        <f>VALUE(MID(Tab_Kandidaten[[#This Row],[Zeitungstext]],Tab_Kandidaten[[#This Row],[Länge]]-3,4))</f>
        <v>1976</v>
      </c>
      <c r="G170" s="27">
        <f>2020-Tab_Kandidaten[[#This Row],[GebJahr]]</f>
        <v>44</v>
      </c>
      <c r="H170" s="27">
        <f>ROUND(Tab_Kandidaten[[#This Row],[Alter]],-1)</f>
        <v>40</v>
      </c>
      <c r="I170" s="27">
        <f>QUOTIENT(Tab_Kandidaten[[#This Row],[ID]],100)</f>
        <v>6</v>
      </c>
      <c r="J170" s="27">
        <f>MOD(Tab_Kandidaten[[#This Row],[ID]],100)</f>
        <v>5</v>
      </c>
      <c r="K170" s="27">
        <f>Tab_Kandidaten[[#This Row],[Länge]]-LEN(SUBSTITUTE(Tab_Kandidaten[[#This Row],[Zeitungstext]],",",""))</f>
        <v>2</v>
      </c>
    </row>
    <row r="171" spans="2:11" x14ac:dyDescent="0.25">
      <c r="B171" t="s">
        <v>53</v>
      </c>
      <c r="C171">
        <f>LEN(Tab_Kandidaten[[#This Row],[Zeitungstext]])</f>
        <v>39</v>
      </c>
      <c r="D171">
        <f>VALUE(MID(Tab_Kandidaten[[#This Row],[Zeitungstext]],1,3))</f>
        <v>606</v>
      </c>
      <c r="E171" s="27" t="str">
        <f>MID(Tab_Kandidaten[[#This Row],[Zeitungstext]],5,Tab_Kandidaten[[#This Row],[Länge]]-9)</f>
        <v>Klindt, Malte, Personalberater</v>
      </c>
      <c r="F171" s="27">
        <f>VALUE(MID(Tab_Kandidaten[[#This Row],[Zeitungstext]],Tab_Kandidaten[[#This Row],[Länge]]-3,4))</f>
        <v>1956</v>
      </c>
      <c r="G171" s="27">
        <f>2020-Tab_Kandidaten[[#This Row],[GebJahr]]</f>
        <v>64</v>
      </c>
      <c r="H171" s="27">
        <f>ROUND(Tab_Kandidaten[[#This Row],[Alter]],-1)</f>
        <v>60</v>
      </c>
      <c r="I171" s="27">
        <f>QUOTIENT(Tab_Kandidaten[[#This Row],[ID]],100)</f>
        <v>6</v>
      </c>
      <c r="J171" s="27">
        <f>MOD(Tab_Kandidaten[[#This Row],[ID]],100)</f>
        <v>6</v>
      </c>
      <c r="K171" s="27">
        <f>Tab_Kandidaten[[#This Row],[Länge]]-LEN(SUBSTITUTE(Tab_Kandidaten[[#This Row],[Zeitungstext]],",",""))</f>
        <v>2</v>
      </c>
    </row>
    <row r="172" spans="2:11" x14ac:dyDescent="0.25">
      <c r="B172" t="s">
        <v>54</v>
      </c>
      <c r="C172">
        <f>LEN(Tab_Kandidaten[[#This Row],[Zeitungstext]])</f>
        <v>76</v>
      </c>
      <c r="D172">
        <f>VALUE(MID(Tab_Kandidaten[[#This Row],[Zeitungstext]],1,3))</f>
        <v>607</v>
      </c>
      <c r="E172" s="27" t="str">
        <f>MID(Tab_Kandidaten[[#This Row],[Zeitungstext]],5,Tab_Kandidaten[[#This Row],[Länge]]-9)</f>
        <v>Friesen, Christian, Dipl.-Wirtschaftsingenieur (FH), Produktmanager</v>
      </c>
      <c r="F172" s="27">
        <f>VALUE(MID(Tab_Kandidaten[[#This Row],[Zeitungstext]],Tab_Kandidaten[[#This Row],[Länge]]-3,4))</f>
        <v>1979</v>
      </c>
      <c r="G172" s="27">
        <f>2020-Tab_Kandidaten[[#This Row],[GebJahr]]</f>
        <v>41</v>
      </c>
      <c r="H172" s="27">
        <f>ROUND(Tab_Kandidaten[[#This Row],[Alter]],-1)</f>
        <v>40</v>
      </c>
      <c r="I172" s="27">
        <f>QUOTIENT(Tab_Kandidaten[[#This Row],[ID]],100)</f>
        <v>6</v>
      </c>
      <c r="J172" s="27">
        <f>MOD(Tab_Kandidaten[[#This Row],[ID]],100)</f>
        <v>7</v>
      </c>
      <c r="K172" s="27">
        <f>Tab_Kandidaten[[#This Row],[Länge]]-LEN(SUBSTITUTE(Tab_Kandidaten[[#This Row],[Zeitungstext]],",",""))</f>
        <v>3</v>
      </c>
    </row>
    <row r="173" spans="2:11" x14ac:dyDescent="0.25">
      <c r="B173" t="s">
        <v>55</v>
      </c>
      <c r="C173">
        <f>LEN(Tab_Kandidaten[[#This Row],[Zeitungstext]])</f>
        <v>48</v>
      </c>
      <c r="D173">
        <f>VALUE(MID(Tab_Kandidaten[[#This Row],[Zeitungstext]],1,3))</f>
        <v>608</v>
      </c>
      <c r="E173" s="27" t="str">
        <f>MID(Tab_Kandidaten[[#This Row],[Zeitungstext]],5,Tab_Kandidaten[[#This Row],[Länge]]-9)</f>
        <v>Degel, Arno, Versicherungskaufmann i.R.</v>
      </c>
      <c r="F173" s="27">
        <f>VALUE(MID(Tab_Kandidaten[[#This Row],[Zeitungstext]],Tab_Kandidaten[[#This Row],[Länge]]-3,4))</f>
        <v>1953</v>
      </c>
      <c r="G173" s="27">
        <f>2020-Tab_Kandidaten[[#This Row],[GebJahr]]</f>
        <v>67</v>
      </c>
      <c r="H173" s="27">
        <f>ROUND(Tab_Kandidaten[[#This Row],[Alter]],-1)</f>
        <v>70</v>
      </c>
      <c r="I173" s="27">
        <f>QUOTIENT(Tab_Kandidaten[[#This Row],[ID]],100)</f>
        <v>6</v>
      </c>
      <c r="J173" s="27">
        <f>MOD(Tab_Kandidaten[[#This Row],[ID]],100)</f>
        <v>8</v>
      </c>
      <c r="K173" s="27">
        <f>Tab_Kandidaten[[#This Row],[Länge]]-LEN(SUBSTITUTE(Tab_Kandidaten[[#This Row],[Zeitungstext]],",",""))</f>
        <v>2</v>
      </c>
    </row>
    <row r="174" spans="2:11" x14ac:dyDescent="0.25">
      <c r="B174" t="s">
        <v>56</v>
      </c>
      <c r="C174">
        <f>LEN(Tab_Kandidaten[[#This Row],[Zeitungstext]])</f>
        <v>47</v>
      </c>
      <c r="D174">
        <f>VALUE(MID(Tab_Kandidaten[[#This Row],[Zeitungstext]],1,3))</f>
        <v>609</v>
      </c>
      <c r="E174" s="27" t="str">
        <f>MID(Tab_Kandidaten[[#This Row],[Zeitungstext]],5,Tab_Kandidaten[[#This Row],[Länge]]-9)</f>
        <v>Prof. Dr. Radeleff, Boris Alexis, Arzt</v>
      </c>
      <c r="F174" s="27">
        <f>VALUE(MID(Tab_Kandidaten[[#This Row],[Zeitungstext]],Tab_Kandidaten[[#This Row],[Länge]]-3,4))</f>
        <v>1969</v>
      </c>
      <c r="G174" s="27">
        <f>2020-Tab_Kandidaten[[#This Row],[GebJahr]]</f>
        <v>51</v>
      </c>
      <c r="H174" s="27">
        <f>ROUND(Tab_Kandidaten[[#This Row],[Alter]],-1)</f>
        <v>50</v>
      </c>
      <c r="I174" s="27">
        <f>QUOTIENT(Tab_Kandidaten[[#This Row],[ID]],100)</f>
        <v>6</v>
      </c>
      <c r="J174" s="27">
        <f>MOD(Tab_Kandidaten[[#This Row],[ID]],100)</f>
        <v>9</v>
      </c>
      <c r="K174" s="27">
        <f>Tab_Kandidaten[[#This Row],[Länge]]-LEN(SUBSTITUTE(Tab_Kandidaten[[#This Row],[Zeitungstext]],",",""))</f>
        <v>2</v>
      </c>
    </row>
    <row r="175" spans="2:11" x14ac:dyDescent="0.25">
      <c r="B175" t="s">
        <v>57</v>
      </c>
      <c r="C175">
        <f>LEN(Tab_Kandidaten[[#This Row],[Zeitungstext]])</f>
        <v>31</v>
      </c>
      <c r="D175">
        <f>VALUE(MID(Tab_Kandidaten[[#This Row],[Zeitungstext]],1,3))</f>
        <v>610</v>
      </c>
      <c r="E175" s="27" t="str">
        <f>MID(Tab_Kandidaten[[#This Row],[Zeitungstext]],5,Tab_Kandidaten[[#This Row],[Länge]]-9)</f>
        <v>Hamm, Nikolas, Student</v>
      </c>
      <c r="F175" s="27">
        <f>VALUE(MID(Tab_Kandidaten[[#This Row],[Zeitungstext]],Tab_Kandidaten[[#This Row],[Länge]]-3,4))</f>
        <v>1995</v>
      </c>
      <c r="G175" s="27">
        <f>2020-Tab_Kandidaten[[#This Row],[GebJahr]]</f>
        <v>25</v>
      </c>
      <c r="H175" s="27">
        <f>ROUND(Tab_Kandidaten[[#This Row],[Alter]],-1)</f>
        <v>30</v>
      </c>
      <c r="I175" s="27">
        <f>QUOTIENT(Tab_Kandidaten[[#This Row],[ID]],100)</f>
        <v>6</v>
      </c>
      <c r="J175" s="27">
        <f>MOD(Tab_Kandidaten[[#This Row],[ID]],100)</f>
        <v>10</v>
      </c>
      <c r="K175" s="27">
        <f>Tab_Kandidaten[[#This Row],[Länge]]-LEN(SUBSTITUTE(Tab_Kandidaten[[#This Row],[Zeitungstext]],",",""))</f>
        <v>2</v>
      </c>
    </row>
    <row r="176" spans="2:11" x14ac:dyDescent="0.25">
      <c r="B176" t="s">
        <v>58</v>
      </c>
      <c r="C176">
        <f>LEN(Tab_Kandidaten[[#This Row],[Zeitungstext]])</f>
        <v>48</v>
      </c>
      <c r="D176">
        <f>VALUE(MID(Tab_Kandidaten[[#This Row],[Zeitungstext]],1,3))</f>
        <v>611</v>
      </c>
      <c r="E176" s="27" t="str">
        <f>MID(Tab_Kandidaten[[#This Row],[Zeitungstext]],5,Tab_Kandidaten[[#This Row],[Länge]]-9)</f>
        <v>Hagen, Johannes, Fachkraft Einzelhandel</v>
      </c>
      <c r="F176" s="27">
        <f>VALUE(MID(Tab_Kandidaten[[#This Row],[Zeitungstext]],Tab_Kandidaten[[#This Row],[Länge]]-3,4))</f>
        <v>1997</v>
      </c>
      <c r="G176" s="27">
        <f>2020-Tab_Kandidaten[[#This Row],[GebJahr]]</f>
        <v>23</v>
      </c>
      <c r="H176" s="27">
        <f>ROUND(Tab_Kandidaten[[#This Row],[Alter]],-1)</f>
        <v>20</v>
      </c>
      <c r="I176" s="27">
        <f>QUOTIENT(Tab_Kandidaten[[#This Row],[ID]],100)</f>
        <v>6</v>
      </c>
      <c r="J176" s="27">
        <f>MOD(Tab_Kandidaten[[#This Row],[ID]],100)</f>
        <v>11</v>
      </c>
      <c r="K176" s="27">
        <f>Tab_Kandidaten[[#This Row],[Länge]]-LEN(SUBSTITUTE(Tab_Kandidaten[[#This Row],[Zeitungstext]],",",""))</f>
        <v>2</v>
      </c>
    </row>
    <row r="177" spans="2:11" x14ac:dyDescent="0.25">
      <c r="B177" t="s">
        <v>59</v>
      </c>
      <c r="C177">
        <f>LEN(Tab_Kandidaten[[#This Row],[Zeitungstext]])</f>
        <v>44</v>
      </c>
      <c r="D177">
        <f>VALUE(MID(Tab_Kandidaten[[#This Row],[Zeitungstext]],1,3))</f>
        <v>612</v>
      </c>
      <c r="E177" s="27" t="str">
        <f>MID(Tab_Kandidaten[[#This Row],[Zeitungstext]],5,Tab_Kandidaten[[#This Row],[Länge]]-9)</f>
        <v>Neubert, Johannes, Fahrdienstleiter</v>
      </c>
      <c r="F177" s="27">
        <f>VALUE(MID(Tab_Kandidaten[[#This Row],[Zeitungstext]],Tab_Kandidaten[[#This Row],[Länge]]-3,4))</f>
        <v>1992</v>
      </c>
      <c r="G177" s="27">
        <f>2020-Tab_Kandidaten[[#This Row],[GebJahr]]</f>
        <v>28</v>
      </c>
      <c r="H177" s="27">
        <f>ROUND(Tab_Kandidaten[[#This Row],[Alter]],-1)</f>
        <v>30</v>
      </c>
      <c r="I177" s="27">
        <f>QUOTIENT(Tab_Kandidaten[[#This Row],[ID]],100)</f>
        <v>6</v>
      </c>
      <c r="J177" s="27">
        <f>MOD(Tab_Kandidaten[[#This Row],[ID]],100)</f>
        <v>12</v>
      </c>
      <c r="K177" s="27">
        <f>Tab_Kandidaten[[#This Row],[Länge]]-LEN(SUBSTITUTE(Tab_Kandidaten[[#This Row],[Zeitungstext]],",",""))</f>
        <v>2</v>
      </c>
    </row>
    <row r="178" spans="2:11" x14ac:dyDescent="0.25">
      <c r="B178" t="s">
        <v>60</v>
      </c>
      <c r="C178">
        <f>LEN(Tab_Kandidaten[[#This Row],[Zeitungstext]])</f>
        <v>41</v>
      </c>
      <c r="D178">
        <f>VALUE(MID(Tab_Kandidaten[[#This Row],[Zeitungstext]],1,3))</f>
        <v>613</v>
      </c>
      <c r="E178" s="27" t="str">
        <f>MID(Tab_Kandidaten[[#This Row],[Zeitungstext]],5,Tab_Kandidaten[[#This Row],[Länge]]-9)</f>
        <v>Löhnert, Martin, Callcenteragent</v>
      </c>
      <c r="F178" s="27">
        <f>VALUE(MID(Tab_Kandidaten[[#This Row],[Zeitungstext]],Tab_Kandidaten[[#This Row],[Länge]]-3,4))</f>
        <v>2000</v>
      </c>
      <c r="G178" s="27">
        <f>2020-Tab_Kandidaten[[#This Row],[GebJahr]]</f>
        <v>20</v>
      </c>
      <c r="H178" s="27">
        <f>ROUND(Tab_Kandidaten[[#This Row],[Alter]],-1)</f>
        <v>20</v>
      </c>
      <c r="I178" s="27">
        <f>QUOTIENT(Tab_Kandidaten[[#This Row],[ID]],100)</f>
        <v>6</v>
      </c>
      <c r="J178" s="27">
        <f>MOD(Tab_Kandidaten[[#This Row],[ID]],100)</f>
        <v>13</v>
      </c>
      <c r="K178" s="27">
        <f>Tab_Kandidaten[[#This Row],[Länge]]-LEN(SUBSTITUTE(Tab_Kandidaten[[#This Row],[Zeitungstext]],",",""))</f>
        <v>2</v>
      </c>
    </row>
    <row r="179" spans="2:11" x14ac:dyDescent="0.25">
      <c r="B179" t="s">
        <v>28</v>
      </c>
      <c r="C179">
        <f>LEN(Tab_Kandidaten[[#This Row],[Zeitungstext]])</f>
        <v>60</v>
      </c>
      <c r="D179">
        <f>VALUE(MID(Tab_Kandidaten[[#This Row],[Zeitungstext]],1,3))</f>
        <v>701</v>
      </c>
      <c r="E179" t="str">
        <f>MID(Tab_Kandidaten[[#This Row],[Zeitungstext]],5,Tab_Kandidaten[[#This Row],[Länge]]-9)</f>
        <v>Etzel, Thomas, Gewerkschaftssekretär i.R., Stadtrat</v>
      </c>
      <c r="F179">
        <f>VALUE(MID(Tab_Kandidaten[[#This Row],[Zeitungstext]],Tab_Kandidaten[[#This Row],[Länge]]-3,4))</f>
        <v>1954</v>
      </c>
      <c r="G179">
        <f>2020-Tab_Kandidaten[[#This Row],[GebJahr]]</f>
        <v>66</v>
      </c>
      <c r="H179">
        <f>ROUND(Tab_Kandidaten[[#This Row],[Alter]],-1)</f>
        <v>70</v>
      </c>
      <c r="I179" s="27">
        <f>QUOTIENT(Tab_Kandidaten[[#This Row],[ID]],100)</f>
        <v>7</v>
      </c>
      <c r="J179" s="27">
        <f>MOD(Tab_Kandidaten[[#This Row],[ID]],100)</f>
        <v>1</v>
      </c>
      <c r="K179" s="27">
        <f>Tab_Kandidaten[[#This Row],[Länge]]-LEN(SUBSTITUTE(Tab_Kandidaten[[#This Row],[Zeitungstext]],",",""))</f>
        <v>3</v>
      </c>
    </row>
    <row r="180" spans="2:11" x14ac:dyDescent="0.25">
      <c r="B180" t="s">
        <v>29</v>
      </c>
      <c r="C180">
        <f>LEN(Tab_Kandidaten[[#This Row],[Zeitungstext]])</f>
        <v>62</v>
      </c>
      <c r="D180">
        <f>VALUE(MID(Tab_Kandidaten[[#This Row],[Zeitungstext]],1,3))</f>
        <v>702</v>
      </c>
      <c r="E180" t="str">
        <f>MID(Tab_Kandidaten[[#This Row],[Zeitungstext]],5,Tab_Kandidaten[[#This Row],[Länge]]-9)</f>
        <v>Damasceno da Costa e Silva, Janson, B.Eng., Ingenieur</v>
      </c>
      <c r="F180">
        <f>VALUE(MID(Tab_Kandidaten[[#This Row],[Zeitungstext]],Tab_Kandidaten[[#This Row],[Länge]]-3,4))</f>
        <v>1990</v>
      </c>
      <c r="G180">
        <f>2020-Tab_Kandidaten[[#This Row],[GebJahr]]</f>
        <v>30</v>
      </c>
      <c r="H180">
        <f>ROUND(Tab_Kandidaten[[#This Row],[Alter]],-1)</f>
        <v>30</v>
      </c>
      <c r="I180" s="27">
        <f>QUOTIENT(Tab_Kandidaten[[#This Row],[ID]],100)</f>
        <v>7</v>
      </c>
      <c r="J180" s="27">
        <f>MOD(Tab_Kandidaten[[#This Row],[ID]],100)</f>
        <v>2</v>
      </c>
      <c r="K180" s="27">
        <f>Tab_Kandidaten[[#This Row],[Länge]]-LEN(SUBSTITUTE(Tab_Kandidaten[[#This Row],[Zeitungstext]],",",""))</f>
        <v>3</v>
      </c>
    </row>
    <row r="181" spans="2:11" x14ac:dyDescent="0.25">
      <c r="B181" t="s">
        <v>30</v>
      </c>
      <c r="C181">
        <f>LEN(Tab_Kandidaten[[#This Row],[Zeitungstext]])</f>
        <v>42</v>
      </c>
      <c r="D181">
        <f>VALUE(MID(Tab_Kandidaten[[#This Row],[Zeitungstext]],1,3))</f>
        <v>703</v>
      </c>
      <c r="E181" t="str">
        <f>MID(Tab_Kandidaten[[#This Row],[Zeitungstext]],5,Tab_Kandidaten[[#This Row],[Länge]]-9)</f>
        <v>Hartmann, Andreas, Projektmanager</v>
      </c>
      <c r="F181">
        <f>VALUE(MID(Tab_Kandidaten[[#This Row],[Zeitungstext]],Tab_Kandidaten[[#This Row],[Länge]]-3,4))</f>
        <v>1980</v>
      </c>
      <c r="G181">
        <f>2020-Tab_Kandidaten[[#This Row],[GebJahr]]</f>
        <v>40</v>
      </c>
      <c r="H181">
        <f>ROUND(Tab_Kandidaten[[#This Row],[Alter]],-1)</f>
        <v>40</v>
      </c>
      <c r="I181" s="27">
        <f>QUOTIENT(Tab_Kandidaten[[#This Row],[ID]],100)</f>
        <v>7</v>
      </c>
      <c r="J181" s="27">
        <f>MOD(Tab_Kandidaten[[#This Row],[ID]],100)</f>
        <v>3</v>
      </c>
      <c r="K181" s="27">
        <f>Tab_Kandidaten[[#This Row],[Länge]]-LEN(SUBSTITUTE(Tab_Kandidaten[[#This Row],[Zeitungstext]],",",""))</f>
        <v>2</v>
      </c>
    </row>
    <row r="182" spans="2:11" x14ac:dyDescent="0.25">
      <c r="B182" t="s">
        <v>31</v>
      </c>
      <c r="C182">
        <f>LEN(Tab_Kandidaten[[#This Row],[Zeitungstext]])</f>
        <v>46</v>
      </c>
      <c r="D182">
        <f>VALUE(MID(Tab_Kandidaten[[#This Row],[Zeitungstext]],1,3))</f>
        <v>704</v>
      </c>
      <c r="E182" t="str">
        <f>MID(Tab_Kandidaten[[#This Row],[Zeitungstext]],5,Tab_Kandidaten[[#This Row],[Länge]]-9)</f>
        <v>Petermann, Eva, Oberstudienrätin a.D.</v>
      </c>
      <c r="F182">
        <f>VALUE(MID(Tab_Kandidaten[[#This Row],[Zeitungstext]],Tab_Kandidaten[[#This Row],[Länge]]-3,4))</f>
        <v>1950</v>
      </c>
      <c r="G182">
        <f>2020-Tab_Kandidaten[[#This Row],[GebJahr]]</f>
        <v>70</v>
      </c>
      <c r="H182">
        <f>ROUND(Tab_Kandidaten[[#This Row],[Alter]],-1)</f>
        <v>70</v>
      </c>
      <c r="I182" s="27">
        <f>QUOTIENT(Tab_Kandidaten[[#This Row],[ID]],100)</f>
        <v>7</v>
      </c>
      <c r="J182" s="27">
        <f>MOD(Tab_Kandidaten[[#This Row],[ID]],100)</f>
        <v>4</v>
      </c>
      <c r="K182" s="27">
        <f>Tab_Kandidaten[[#This Row],[Länge]]-LEN(SUBSTITUTE(Tab_Kandidaten[[#This Row],[Zeitungstext]],",",""))</f>
        <v>2</v>
      </c>
    </row>
    <row r="183" spans="2:11" x14ac:dyDescent="0.25">
      <c r="B183" t="s">
        <v>32</v>
      </c>
      <c r="C183">
        <f>LEN(Tab_Kandidaten[[#This Row],[Zeitungstext]])</f>
        <v>38</v>
      </c>
      <c r="D183">
        <f>VALUE(MID(Tab_Kandidaten[[#This Row],[Zeitungstext]],1,3))</f>
        <v>705</v>
      </c>
      <c r="E183" t="str">
        <f>MID(Tab_Kandidaten[[#This Row],[Zeitungstext]],5,Tab_Kandidaten[[#This Row],[Länge]]-9)</f>
        <v>Strobel, Michael, Unternehmer</v>
      </c>
      <c r="F183">
        <f>VALUE(MID(Tab_Kandidaten[[#This Row],[Zeitungstext]],Tab_Kandidaten[[#This Row],[Länge]]-3,4))</f>
        <v>1982</v>
      </c>
      <c r="G183">
        <f>2020-Tab_Kandidaten[[#This Row],[GebJahr]]</f>
        <v>38</v>
      </c>
      <c r="H183">
        <f>ROUND(Tab_Kandidaten[[#This Row],[Alter]],-1)</f>
        <v>40</v>
      </c>
      <c r="I183" s="27">
        <f>QUOTIENT(Tab_Kandidaten[[#This Row],[ID]],100)</f>
        <v>7</v>
      </c>
      <c r="J183" s="27">
        <f>MOD(Tab_Kandidaten[[#This Row],[ID]],100)</f>
        <v>5</v>
      </c>
      <c r="K183" s="27">
        <f>Tab_Kandidaten[[#This Row],[Länge]]-LEN(SUBSTITUTE(Tab_Kandidaten[[#This Row],[Zeitungstext]],",",""))</f>
        <v>2</v>
      </c>
    </row>
    <row r="184" spans="2:11" x14ac:dyDescent="0.25">
      <c r="B184" t="s">
        <v>33</v>
      </c>
      <c r="C184">
        <f>LEN(Tab_Kandidaten[[#This Row],[Zeitungstext]])</f>
        <v>41</v>
      </c>
      <c r="D184">
        <f>VALUE(MID(Tab_Kandidaten[[#This Row],[Zeitungstext]],1,3))</f>
        <v>706</v>
      </c>
      <c r="E184" t="str">
        <f>MID(Tab_Kandidaten[[#This Row],[Zeitungstext]],5,Tab_Kandidaten[[#This Row],[Länge]]-9)</f>
        <v>Hoffmann, Anna-Lena, Verkäuferin</v>
      </c>
      <c r="F184">
        <f>VALUE(MID(Tab_Kandidaten[[#This Row],[Zeitungstext]],Tab_Kandidaten[[#This Row],[Länge]]-3,4))</f>
        <v>1986</v>
      </c>
      <c r="G184">
        <f>2020-Tab_Kandidaten[[#This Row],[GebJahr]]</f>
        <v>34</v>
      </c>
      <c r="H184">
        <f>ROUND(Tab_Kandidaten[[#This Row],[Alter]],-1)</f>
        <v>30</v>
      </c>
      <c r="I184" s="27">
        <f>QUOTIENT(Tab_Kandidaten[[#This Row],[ID]],100)</f>
        <v>7</v>
      </c>
      <c r="J184" s="27">
        <f>MOD(Tab_Kandidaten[[#This Row],[ID]],100)</f>
        <v>6</v>
      </c>
      <c r="K184" s="27">
        <f>Tab_Kandidaten[[#This Row],[Länge]]-LEN(SUBSTITUTE(Tab_Kandidaten[[#This Row],[Zeitungstext]],",",""))</f>
        <v>2</v>
      </c>
    </row>
    <row r="185" spans="2:11" x14ac:dyDescent="0.25">
      <c r="B185" t="s">
        <v>34</v>
      </c>
      <c r="C185">
        <f>LEN(Tab_Kandidaten[[#This Row],[Zeitungstext]])</f>
        <v>56</v>
      </c>
      <c r="D185">
        <f>VALUE(MID(Tab_Kandidaten[[#This Row],[Zeitungstext]],1,3))</f>
        <v>707</v>
      </c>
      <c r="E185" t="str">
        <f>MID(Tab_Kandidaten[[#This Row],[Zeitungstext]],5,Tab_Kandidaten[[#This Row],[Länge]]-9)</f>
        <v>Oechslein, Randolph, Industrieelektroniker i.R.</v>
      </c>
      <c r="F185">
        <f>VALUE(MID(Tab_Kandidaten[[#This Row],[Zeitungstext]],Tab_Kandidaten[[#This Row],[Länge]]-3,4))</f>
        <v>1953</v>
      </c>
      <c r="G185">
        <f>2020-Tab_Kandidaten[[#This Row],[GebJahr]]</f>
        <v>67</v>
      </c>
      <c r="H185">
        <f>ROUND(Tab_Kandidaten[[#This Row],[Alter]],-1)</f>
        <v>70</v>
      </c>
      <c r="I185" s="27">
        <f>QUOTIENT(Tab_Kandidaten[[#This Row],[ID]],100)</f>
        <v>7</v>
      </c>
      <c r="J185" s="27">
        <f>MOD(Tab_Kandidaten[[#This Row],[ID]],100)</f>
        <v>7</v>
      </c>
      <c r="K185" s="27">
        <f>Tab_Kandidaten[[#This Row],[Länge]]-LEN(SUBSTITUTE(Tab_Kandidaten[[#This Row],[Zeitungstext]],",",""))</f>
        <v>2</v>
      </c>
    </row>
    <row r="186" spans="2:11" x14ac:dyDescent="0.25">
      <c r="B186" t="s">
        <v>35</v>
      </c>
      <c r="C186">
        <f>LEN(Tab_Kandidaten[[#This Row],[Zeitungstext]])</f>
        <v>58</v>
      </c>
      <c r="D186">
        <f>VALUE(MID(Tab_Kandidaten[[#This Row],[Zeitungstext]],1,3))</f>
        <v>708</v>
      </c>
      <c r="E186" t="str">
        <f>MID(Tab_Kandidaten[[#This Row],[Zeitungstext]],5,Tab_Kandidaten[[#This Row],[Länge]]-9)</f>
        <v>Damasceno da Costa e Silva, Anette, Bauzeichnerin</v>
      </c>
      <c r="F186">
        <f>VALUE(MID(Tab_Kandidaten[[#This Row],[Zeitungstext]],Tab_Kandidaten[[#This Row],[Länge]]-3,4))</f>
        <v>1959</v>
      </c>
      <c r="G186">
        <f>2020-Tab_Kandidaten[[#This Row],[GebJahr]]</f>
        <v>61</v>
      </c>
      <c r="H186">
        <f>ROUND(Tab_Kandidaten[[#This Row],[Alter]],-1)</f>
        <v>60</v>
      </c>
      <c r="I186" s="27">
        <f>QUOTIENT(Tab_Kandidaten[[#This Row],[ID]],100)</f>
        <v>7</v>
      </c>
      <c r="J186" s="27">
        <f>MOD(Tab_Kandidaten[[#This Row],[ID]],100)</f>
        <v>8</v>
      </c>
      <c r="K186" s="27">
        <f>Tab_Kandidaten[[#This Row],[Länge]]-LEN(SUBSTITUTE(Tab_Kandidaten[[#This Row],[Zeitungstext]],",",""))</f>
        <v>2</v>
      </c>
    </row>
    <row r="187" spans="2:11" x14ac:dyDescent="0.25">
      <c r="B187" t="s">
        <v>36</v>
      </c>
      <c r="C187">
        <f>LEN(Tab_Kandidaten[[#This Row],[Zeitungstext]])</f>
        <v>37</v>
      </c>
      <c r="D187">
        <f>VALUE(MID(Tab_Kandidaten[[#This Row],[Zeitungstext]],1,3))</f>
        <v>709</v>
      </c>
      <c r="E187" t="str">
        <f>MID(Tab_Kandidaten[[#This Row],[Zeitungstext]],5,Tab_Kandidaten[[#This Row],[Länge]]-9)</f>
        <v>Blug, Paul, Notfallsanitäter</v>
      </c>
      <c r="F187">
        <f>VALUE(MID(Tab_Kandidaten[[#This Row],[Zeitungstext]],Tab_Kandidaten[[#This Row],[Länge]]-3,4))</f>
        <v>1997</v>
      </c>
      <c r="G187">
        <f>2020-Tab_Kandidaten[[#This Row],[GebJahr]]</f>
        <v>23</v>
      </c>
      <c r="H187">
        <f>ROUND(Tab_Kandidaten[[#This Row],[Alter]],-1)</f>
        <v>20</v>
      </c>
      <c r="I187" s="27">
        <f>QUOTIENT(Tab_Kandidaten[[#This Row],[ID]],100)</f>
        <v>7</v>
      </c>
      <c r="J187" s="27">
        <f>MOD(Tab_Kandidaten[[#This Row],[ID]],100)</f>
        <v>9</v>
      </c>
      <c r="K187" s="27">
        <f>Tab_Kandidaten[[#This Row],[Länge]]-LEN(SUBSTITUTE(Tab_Kandidaten[[#This Row],[Zeitungstext]],",",""))</f>
        <v>2</v>
      </c>
    </row>
    <row r="188" spans="2:11" x14ac:dyDescent="0.25">
      <c r="B188" t="s">
        <v>37</v>
      </c>
      <c r="C188">
        <f>LEN(Tab_Kandidaten[[#This Row],[Zeitungstext]])</f>
        <v>55</v>
      </c>
      <c r="D188">
        <f>VALUE(MID(Tab_Kandidaten[[#This Row],[Zeitungstext]],1,3))</f>
        <v>710</v>
      </c>
      <c r="E188" t="str">
        <f>MID(Tab_Kandidaten[[#This Row],[Zeitungstext]],5,Tab_Kandidaten[[#This Row],[Länge]]-9)</f>
        <v>Schaller, Inge, kaufmännische Angestellte i.R.</v>
      </c>
      <c r="F188">
        <f>VALUE(MID(Tab_Kandidaten[[#This Row],[Zeitungstext]],Tab_Kandidaten[[#This Row],[Länge]]-3,4))</f>
        <v>1946</v>
      </c>
      <c r="G188">
        <f>2020-Tab_Kandidaten[[#This Row],[GebJahr]]</f>
        <v>74</v>
      </c>
      <c r="H188">
        <f>ROUND(Tab_Kandidaten[[#This Row],[Alter]],-1)</f>
        <v>70</v>
      </c>
      <c r="I188" s="27">
        <f>QUOTIENT(Tab_Kandidaten[[#This Row],[ID]],100)</f>
        <v>7</v>
      </c>
      <c r="J188" s="27">
        <f>MOD(Tab_Kandidaten[[#This Row],[ID]],100)</f>
        <v>10</v>
      </c>
      <c r="K188" s="27">
        <f>Tab_Kandidaten[[#This Row],[Länge]]-LEN(SUBSTITUTE(Tab_Kandidaten[[#This Row],[Zeitungstext]],",",""))</f>
        <v>2</v>
      </c>
    </row>
    <row r="189" spans="2:11" x14ac:dyDescent="0.25">
      <c r="B189" t="s">
        <v>38</v>
      </c>
      <c r="C189">
        <f>LEN(Tab_Kandidaten[[#This Row],[Zeitungstext]])</f>
        <v>39</v>
      </c>
      <c r="D189">
        <f>VALUE(MID(Tab_Kandidaten[[#This Row],[Zeitungstext]],1,3))</f>
        <v>711</v>
      </c>
      <c r="E189" t="str">
        <f>MID(Tab_Kandidaten[[#This Row],[Zeitungstext]],5,Tab_Kandidaten[[#This Row],[Länge]]-9)</f>
        <v>Frisch, Manuel, Sachbearbeiter</v>
      </c>
      <c r="F189">
        <f>VALUE(MID(Tab_Kandidaten[[#This Row],[Zeitungstext]],Tab_Kandidaten[[#This Row],[Länge]]-3,4))</f>
        <v>1980</v>
      </c>
      <c r="G189">
        <f>2020-Tab_Kandidaten[[#This Row],[GebJahr]]</f>
        <v>40</v>
      </c>
      <c r="H189">
        <f>ROUND(Tab_Kandidaten[[#This Row],[Alter]],-1)</f>
        <v>40</v>
      </c>
      <c r="I189" s="27">
        <f>QUOTIENT(Tab_Kandidaten[[#This Row],[ID]],100)</f>
        <v>7</v>
      </c>
      <c r="J189" s="27">
        <f>MOD(Tab_Kandidaten[[#This Row],[ID]],100)</f>
        <v>11</v>
      </c>
      <c r="K189" s="27">
        <f>Tab_Kandidaten[[#This Row],[Länge]]-LEN(SUBSTITUTE(Tab_Kandidaten[[#This Row],[Zeitungstext]],",",""))</f>
        <v>2</v>
      </c>
    </row>
    <row r="190" spans="2:11" x14ac:dyDescent="0.25">
      <c r="B190" t="s">
        <v>39</v>
      </c>
      <c r="C190">
        <f>LEN(Tab_Kandidaten[[#This Row],[Zeitungstext]])</f>
        <v>33</v>
      </c>
      <c r="D190">
        <f>VALUE(MID(Tab_Kandidaten[[#This Row],[Zeitungstext]],1,3))</f>
        <v>712</v>
      </c>
      <c r="E190" t="str">
        <f>MID(Tab_Kandidaten[[#This Row],[Zeitungstext]],5,Tab_Kandidaten[[#This Row],[Länge]]-9)</f>
        <v>Seidel, Hans, Taxifahrer</v>
      </c>
      <c r="F190">
        <f>VALUE(MID(Tab_Kandidaten[[#This Row],[Zeitungstext]],Tab_Kandidaten[[#This Row],[Länge]]-3,4))</f>
        <v>1966</v>
      </c>
      <c r="G190">
        <f>2020-Tab_Kandidaten[[#This Row],[GebJahr]]</f>
        <v>54</v>
      </c>
      <c r="H190">
        <f>ROUND(Tab_Kandidaten[[#This Row],[Alter]],-1)</f>
        <v>50</v>
      </c>
      <c r="I190" s="27">
        <f>QUOTIENT(Tab_Kandidaten[[#This Row],[ID]],100)</f>
        <v>7</v>
      </c>
      <c r="J190" s="27">
        <f>MOD(Tab_Kandidaten[[#This Row],[ID]],100)</f>
        <v>12</v>
      </c>
      <c r="K190" s="27">
        <f>Tab_Kandidaten[[#This Row],[Länge]]-LEN(SUBSTITUTE(Tab_Kandidaten[[#This Row],[Zeitungstext]],",",""))</f>
        <v>2</v>
      </c>
    </row>
    <row r="191" spans="2:11" x14ac:dyDescent="0.25">
      <c r="B191" t="s">
        <v>40</v>
      </c>
      <c r="C191">
        <f>LEN(Tab_Kandidaten[[#This Row],[Zeitungstext]])</f>
        <v>39</v>
      </c>
      <c r="D191">
        <f>VALUE(MID(Tab_Kandidaten[[#This Row],[Zeitungstext]],1,3))</f>
        <v>713</v>
      </c>
      <c r="E191" t="str">
        <f>MID(Tab_Kandidaten[[#This Row],[Zeitungstext]],5,Tab_Kandidaten[[#This Row],[Länge]]-9)</f>
        <v>Dimmling, Andreas, Kraftfahrer</v>
      </c>
      <c r="F191">
        <f>VALUE(MID(Tab_Kandidaten[[#This Row],[Zeitungstext]],Tab_Kandidaten[[#This Row],[Länge]]-3,4))</f>
        <v>1982</v>
      </c>
      <c r="G191">
        <f>2020-Tab_Kandidaten[[#This Row],[GebJahr]]</f>
        <v>38</v>
      </c>
      <c r="H191">
        <f>ROUND(Tab_Kandidaten[[#This Row],[Alter]],-1)</f>
        <v>40</v>
      </c>
      <c r="I191" s="27">
        <f>QUOTIENT(Tab_Kandidaten[[#This Row],[ID]],100)</f>
        <v>7</v>
      </c>
      <c r="J191" s="27">
        <f>MOD(Tab_Kandidaten[[#This Row],[ID]],100)</f>
        <v>13</v>
      </c>
      <c r="K191" s="27">
        <f>Tab_Kandidaten[[#This Row],[Länge]]-LEN(SUBSTITUTE(Tab_Kandidaten[[#This Row],[Zeitungstext]],",",""))</f>
        <v>2</v>
      </c>
    </row>
    <row r="192" spans="2:11" x14ac:dyDescent="0.25">
      <c r="B192" t="s">
        <v>41</v>
      </c>
      <c r="C192">
        <f>LEN(Tab_Kandidaten[[#This Row],[Zeitungstext]])</f>
        <v>36</v>
      </c>
      <c r="D192">
        <f>VALUE(MID(Tab_Kandidaten[[#This Row],[Zeitungstext]],1,3))</f>
        <v>714</v>
      </c>
      <c r="E192" t="str">
        <f>MID(Tab_Kandidaten[[#This Row],[Zeitungstext]],5,Tab_Kandidaten[[#This Row],[Länge]]-9)</f>
        <v>Zettlmeißl, Marcus, Schüler</v>
      </c>
      <c r="F192">
        <f>VALUE(MID(Tab_Kandidaten[[#This Row],[Zeitungstext]],Tab_Kandidaten[[#This Row],[Länge]]-3,4))</f>
        <v>1995</v>
      </c>
      <c r="G192">
        <f>2020-Tab_Kandidaten[[#This Row],[GebJahr]]</f>
        <v>25</v>
      </c>
      <c r="H192">
        <f>ROUND(Tab_Kandidaten[[#This Row],[Alter]],-1)</f>
        <v>30</v>
      </c>
      <c r="I192" s="27">
        <f>QUOTIENT(Tab_Kandidaten[[#This Row],[ID]],100)</f>
        <v>7</v>
      </c>
      <c r="J192" s="27">
        <f>MOD(Tab_Kandidaten[[#This Row],[ID]],100)</f>
        <v>14</v>
      </c>
      <c r="K192" s="27">
        <f>Tab_Kandidaten[[#This Row],[Länge]]-LEN(SUBSTITUTE(Tab_Kandidaten[[#This Row],[Zeitungstext]],",",""))</f>
        <v>2</v>
      </c>
    </row>
    <row r="193" spans="2:11" x14ac:dyDescent="0.25">
      <c r="B193" t="s">
        <v>61</v>
      </c>
      <c r="C193">
        <f>LEN(Tab_Kandidaten[[#This Row],[Zeitungstext]])</f>
        <v>32</v>
      </c>
      <c r="D193">
        <f>VALUE(MID(Tab_Kandidaten[[#This Row],[Zeitungstext]],1,3))</f>
        <v>801</v>
      </c>
      <c r="E193" s="27" t="str">
        <f>MID(Tab_Kandidaten[[#This Row],[Zeitungstext]],5,Tab_Kandidaten[[#This Row],[Länge]]-9)</f>
        <v>Zeitler, Klaus, Rentner</v>
      </c>
      <c r="F193" s="27">
        <f>VALUE(MID(Tab_Kandidaten[[#This Row],[Zeitungstext]],Tab_Kandidaten[[#This Row],[Länge]]-3,4))</f>
        <v>1953</v>
      </c>
      <c r="G193" s="27">
        <f>2020-Tab_Kandidaten[[#This Row],[GebJahr]]</f>
        <v>67</v>
      </c>
      <c r="H193" s="27">
        <f>ROUND(Tab_Kandidaten[[#This Row],[Alter]],-1)</f>
        <v>70</v>
      </c>
      <c r="I193" s="27">
        <f>QUOTIENT(Tab_Kandidaten[[#This Row],[ID]],100)</f>
        <v>8</v>
      </c>
      <c r="J193" s="27">
        <f>MOD(Tab_Kandidaten[[#This Row],[ID]],100)</f>
        <v>1</v>
      </c>
      <c r="K193" s="27">
        <f>Tab_Kandidaten[[#This Row],[Länge]]-LEN(SUBSTITUTE(Tab_Kandidaten[[#This Row],[Zeitungstext]],",",""))</f>
        <v>2</v>
      </c>
    </row>
    <row r="194" spans="2:11" x14ac:dyDescent="0.25">
      <c r="B194" t="s">
        <v>62</v>
      </c>
      <c r="C194">
        <f>LEN(Tab_Kandidaten[[#This Row],[Zeitungstext]])</f>
        <v>47</v>
      </c>
      <c r="D194">
        <f>VALUE(MID(Tab_Kandidaten[[#This Row],[Zeitungstext]],1,3))</f>
        <v>802</v>
      </c>
      <c r="E194" s="27" t="str">
        <f>MID(Tab_Kandidaten[[#This Row],[Zeitungstext]],5,Tab_Kandidaten[[#This Row],[Länge]]-9)</f>
        <v>Dietel, Hans-Jürgen, Rentner, Stadtrat</v>
      </c>
      <c r="F194" s="27">
        <f>VALUE(MID(Tab_Kandidaten[[#This Row],[Zeitungstext]],Tab_Kandidaten[[#This Row],[Länge]]-3,4))</f>
        <v>1955</v>
      </c>
      <c r="G194" s="27">
        <f>2020-Tab_Kandidaten[[#This Row],[GebJahr]]</f>
        <v>65</v>
      </c>
      <c r="H194" s="27">
        <f>ROUND(Tab_Kandidaten[[#This Row],[Alter]],-1)</f>
        <v>70</v>
      </c>
      <c r="I194" s="27">
        <f>QUOTIENT(Tab_Kandidaten[[#This Row],[ID]],100)</f>
        <v>8</v>
      </c>
      <c r="J194" s="27">
        <f>MOD(Tab_Kandidaten[[#This Row],[ID]],100)</f>
        <v>2</v>
      </c>
      <c r="K194" s="27">
        <f>Tab_Kandidaten[[#This Row],[Länge]]-LEN(SUBSTITUTE(Tab_Kandidaten[[#This Row],[Zeitungstext]],",",""))</f>
        <v>3</v>
      </c>
    </row>
    <row r="195" spans="2:11" x14ac:dyDescent="0.25">
      <c r="B195" t="s">
        <v>63</v>
      </c>
      <c r="C195">
        <f>LEN(Tab_Kandidaten[[#This Row],[Zeitungstext]])</f>
        <v>30</v>
      </c>
      <c r="D195">
        <f>VALUE(MID(Tab_Kandidaten[[#This Row],[Zeitungstext]],1,3))</f>
        <v>803</v>
      </c>
      <c r="E195" s="27" t="str">
        <f>MID(Tab_Kandidaten[[#This Row],[Zeitungstext]],5,Tab_Kandidaten[[#This Row],[Länge]]-9)</f>
        <v>Bär, Heidi, Rentnerin</v>
      </c>
      <c r="F195" s="27">
        <f>VALUE(MID(Tab_Kandidaten[[#This Row],[Zeitungstext]],Tab_Kandidaten[[#This Row],[Länge]]-3,4))</f>
        <v>1953</v>
      </c>
      <c r="G195" s="27">
        <f>2020-Tab_Kandidaten[[#This Row],[GebJahr]]</f>
        <v>67</v>
      </c>
      <c r="H195" s="27">
        <f>ROUND(Tab_Kandidaten[[#This Row],[Alter]],-1)</f>
        <v>70</v>
      </c>
      <c r="I195" s="27">
        <f>QUOTIENT(Tab_Kandidaten[[#This Row],[ID]],100)</f>
        <v>8</v>
      </c>
      <c r="J195" s="27">
        <f>MOD(Tab_Kandidaten[[#This Row],[ID]],100)</f>
        <v>3</v>
      </c>
      <c r="K195" s="27">
        <f>Tab_Kandidaten[[#This Row],[Länge]]-LEN(SUBSTITUTE(Tab_Kandidaten[[#This Row],[Zeitungstext]],",",""))</f>
        <v>2</v>
      </c>
    </row>
    <row r="196" spans="2:11" x14ac:dyDescent="0.25">
      <c r="B196" t="s">
        <v>64</v>
      </c>
      <c r="C196">
        <f>LEN(Tab_Kandidaten[[#This Row],[Zeitungstext]])</f>
        <v>38</v>
      </c>
      <c r="D196">
        <f>VALUE(MID(Tab_Kandidaten[[#This Row],[Zeitungstext]],1,3))</f>
        <v>804</v>
      </c>
      <c r="E196" s="27" t="str">
        <f>MID(Tab_Kandidaten[[#This Row],[Zeitungstext]],5,Tab_Kandidaten[[#This Row],[Länge]]-9)</f>
        <v>Köberer, Ramona, Bürokauffrau</v>
      </c>
      <c r="F196" s="27">
        <f>VALUE(MID(Tab_Kandidaten[[#This Row],[Zeitungstext]],Tab_Kandidaten[[#This Row],[Länge]]-3,4))</f>
        <v>1980</v>
      </c>
      <c r="G196" s="27">
        <f>2020-Tab_Kandidaten[[#This Row],[GebJahr]]</f>
        <v>40</v>
      </c>
      <c r="H196" s="27">
        <f>ROUND(Tab_Kandidaten[[#This Row],[Alter]],-1)</f>
        <v>40</v>
      </c>
      <c r="I196" s="27">
        <f>QUOTIENT(Tab_Kandidaten[[#This Row],[ID]],100)</f>
        <v>8</v>
      </c>
      <c r="J196" s="27">
        <f>MOD(Tab_Kandidaten[[#This Row],[ID]],100)</f>
        <v>4</v>
      </c>
      <c r="K196" s="27">
        <f>Tab_Kandidaten[[#This Row],[Länge]]-LEN(SUBSTITUTE(Tab_Kandidaten[[#This Row],[Zeitungstext]],",",""))</f>
        <v>2</v>
      </c>
    </row>
    <row r="197" spans="2:11" x14ac:dyDescent="0.25">
      <c r="B197" t="s">
        <v>65</v>
      </c>
      <c r="C197">
        <f>LEN(Tab_Kandidaten[[#This Row],[Zeitungstext]])</f>
        <v>32</v>
      </c>
      <c r="D197">
        <f>VALUE(MID(Tab_Kandidaten[[#This Row],[Zeitungstext]],1,3))</f>
        <v>805</v>
      </c>
      <c r="E197" s="27" t="str">
        <f>MID(Tab_Kandidaten[[#This Row],[Zeitungstext]],5,Tab_Kandidaten[[#This Row],[Länge]]-9)</f>
        <v>Köberer, Thomas, Soldat</v>
      </c>
      <c r="F197" s="27">
        <f>VALUE(MID(Tab_Kandidaten[[#This Row],[Zeitungstext]],Tab_Kandidaten[[#This Row],[Länge]]-3,4))</f>
        <v>1983</v>
      </c>
      <c r="G197" s="27">
        <f>2020-Tab_Kandidaten[[#This Row],[GebJahr]]</f>
        <v>37</v>
      </c>
      <c r="H197" s="27">
        <f>ROUND(Tab_Kandidaten[[#This Row],[Alter]],-1)</f>
        <v>40</v>
      </c>
      <c r="I197" s="27">
        <f>QUOTIENT(Tab_Kandidaten[[#This Row],[ID]],100)</f>
        <v>8</v>
      </c>
      <c r="J197" s="27">
        <f>MOD(Tab_Kandidaten[[#This Row],[ID]],100)</f>
        <v>5</v>
      </c>
      <c r="K197" s="27">
        <f>Tab_Kandidaten[[#This Row],[Länge]]-LEN(SUBSTITUTE(Tab_Kandidaten[[#This Row],[Zeitungstext]],",",""))</f>
        <v>2</v>
      </c>
    </row>
    <row r="198" spans="2:11" x14ac:dyDescent="0.25">
      <c r="B198" t="s">
        <v>66</v>
      </c>
      <c r="C198">
        <f>LEN(Tab_Kandidaten[[#This Row],[Zeitungstext]])</f>
        <v>35</v>
      </c>
      <c r="D198">
        <f>VALUE(MID(Tab_Kandidaten[[#This Row],[Zeitungstext]],1,3))</f>
        <v>806</v>
      </c>
      <c r="E198" s="27" t="str">
        <f>MID(Tab_Kandidaten[[#This Row],[Zeitungstext]],5,Tab_Kandidaten[[#This Row],[Länge]]-9)</f>
        <v>Aßmann, Siegfried, Rentner</v>
      </c>
      <c r="F198" s="27">
        <f>VALUE(MID(Tab_Kandidaten[[#This Row],[Zeitungstext]],Tab_Kandidaten[[#This Row],[Länge]]-3,4))</f>
        <v>1944</v>
      </c>
      <c r="G198" s="27">
        <f>2020-Tab_Kandidaten[[#This Row],[GebJahr]]</f>
        <v>76</v>
      </c>
      <c r="H198" s="27">
        <f>ROUND(Tab_Kandidaten[[#This Row],[Alter]],-1)</f>
        <v>80</v>
      </c>
      <c r="I198" s="27">
        <f>QUOTIENT(Tab_Kandidaten[[#This Row],[ID]],100)</f>
        <v>8</v>
      </c>
      <c r="J198" s="27">
        <f>MOD(Tab_Kandidaten[[#This Row],[ID]],100)</f>
        <v>6</v>
      </c>
      <c r="K198" s="27">
        <f>Tab_Kandidaten[[#This Row],[Länge]]-LEN(SUBSTITUTE(Tab_Kandidaten[[#This Row],[Zeitungstext]],",",""))</f>
        <v>2</v>
      </c>
    </row>
    <row r="199" spans="2:11" x14ac:dyDescent="0.25">
      <c r="B199" t="s">
        <v>67</v>
      </c>
      <c r="C199">
        <f>LEN(Tab_Kandidaten[[#This Row],[Zeitungstext]])</f>
        <v>43</v>
      </c>
      <c r="D199">
        <f>VALUE(MID(Tab_Kandidaten[[#This Row],[Zeitungstext]],1,3))</f>
        <v>807</v>
      </c>
      <c r="E199" s="27" t="str">
        <f>MID(Tab_Kandidaten[[#This Row],[Zeitungstext]],5,Tab_Kandidaten[[#This Row],[Länge]]-9)</f>
        <v>Neumann, Markus, Stahlbauschlosser</v>
      </c>
      <c r="F199" s="27">
        <f>VALUE(MID(Tab_Kandidaten[[#This Row],[Zeitungstext]],Tab_Kandidaten[[#This Row],[Länge]]-3,4))</f>
        <v>1971</v>
      </c>
      <c r="G199" s="27">
        <f>2020-Tab_Kandidaten[[#This Row],[GebJahr]]</f>
        <v>49</v>
      </c>
      <c r="H199" s="27">
        <f>ROUND(Tab_Kandidaten[[#This Row],[Alter]],-1)</f>
        <v>50</v>
      </c>
      <c r="I199" s="27">
        <f>QUOTIENT(Tab_Kandidaten[[#This Row],[ID]],100)</f>
        <v>8</v>
      </c>
      <c r="J199" s="27">
        <f>MOD(Tab_Kandidaten[[#This Row],[ID]],100)</f>
        <v>7</v>
      </c>
      <c r="K199" s="27">
        <f>Tab_Kandidaten[[#This Row],[Länge]]-LEN(SUBSTITUTE(Tab_Kandidaten[[#This Row],[Zeitungstext]],",",""))</f>
        <v>2</v>
      </c>
    </row>
    <row r="200" spans="2:11" x14ac:dyDescent="0.25">
      <c r="B200" t="s">
        <v>68</v>
      </c>
      <c r="C200">
        <f>LEN(Tab_Kandidaten[[#This Row],[Zeitungstext]])</f>
        <v>33</v>
      </c>
      <c r="D200">
        <f>VALUE(MID(Tab_Kandidaten[[#This Row],[Zeitungstext]],1,3))</f>
        <v>808</v>
      </c>
      <c r="E200" s="27" t="str">
        <f>MID(Tab_Kandidaten[[#This Row],[Zeitungstext]],5,Tab_Kandidaten[[#This Row],[Länge]]-9)</f>
        <v>Klement, Werner, Rentner</v>
      </c>
      <c r="F200" s="27">
        <f>VALUE(MID(Tab_Kandidaten[[#This Row],[Zeitungstext]],Tab_Kandidaten[[#This Row],[Länge]]-3,4))</f>
        <v>1955</v>
      </c>
      <c r="G200" s="27">
        <f>2020-Tab_Kandidaten[[#This Row],[GebJahr]]</f>
        <v>65</v>
      </c>
      <c r="H200" s="27">
        <f>ROUND(Tab_Kandidaten[[#This Row],[Alter]],-1)</f>
        <v>70</v>
      </c>
      <c r="I200" s="27">
        <f>QUOTIENT(Tab_Kandidaten[[#This Row],[ID]],100)</f>
        <v>8</v>
      </c>
      <c r="J200" s="27">
        <f>MOD(Tab_Kandidaten[[#This Row],[ID]],100)</f>
        <v>8</v>
      </c>
      <c r="K200" s="27">
        <f>Tab_Kandidaten[[#This Row],[Länge]]-LEN(SUBSTITUTE(Tab_Kandidaten[[#This Row],[Zeitungstext]],",",""))</f>
        <v>2</v>
      </c>
    </row>
    <row r="201" spans="2:11" x14ac:dyDescent="0.25">
      <c r="B201" t="s">
        <v>69</v>
      </c>
      <c r="C201">
        <f>LEN(Tab_Kandidaten[[#This Row],[Zeitungstext]])</f>
        <v>45</v>
      </c>
      <c r="D201">
        <f>VALUE(MID(Tab_Kandidaten[[#This Row],[Zeitungstext]],1,3))</f>
        <v>809</v>
      </c>
      <c r="E201" s="27" t="str">
        <f>MID(Tab_Kandidaten[[#This Row],[Zeitungstext]],5,Tab_Kandidaten[[#This Row],[Länge]]-9)</f>
        <v>Busch, Werner, Maurer und Stuckateur</v>
      </c>
      <c r="F201" s="27">
        <f>VALUE(MID(Tab_Kandidaten[[#This Row],[Zeitungstext]],Tab_Kandidaten[[#This Row],[Länge]]-3,4))</f>
        <v>1958</v>
      </c>
      <c r="G201" s="27">
        <f>2020-Tab_Kandidaten[[#This Row],[GebJahr]]</f>
        <v>62</v>
      </c>
      <c r="H201" s="27">
        <f>ROUND(Tab_Kandidaten[[#This Row],[Alter]],-1)</f>
        <v>60</v>
      </c>
      <c r="I201" s="27">
        <f>QUOTIENT(Tab_Kandidaten[[#This Row],[ID]],100)</f>
        <v>8</v>
      </c>
      <c r="J201" s="27">
        <f>MOD(Tab_Kandidaten[[#This Row],[ID]],100)</f>
        <v>9</v>
      </c>
      <c r="K201" s="27">
        <f>Tab_Kandidaten[[#This Row],[Länge]]-LEN(SUBSTITUTE(Tab_Kandidaten[[#This Row],[Zeitungstext]],",",""))</f>
        <v>2</v>
      </c>
    </row>
    <row r="202" spans="2:11" x14ac:dyDescent="0.25">
      <c r="B202" t="s">
        <v>70</v>
      </c>
      <c r="C202">
        <f>LEN(Tab_Kandidaten[[#This Row],[Zeitungstext]])</f>
        <v>32</v>
      </c>
      <c r="D202">
        <f>VALUE(MID(Tab_Kandidaten[[#This Row],[Zeitungstext]],1,3))</f>
        <v>810</v>
      </c>
      <c r="E202" s="27" t="str">
        <f>MID(Tab_Kandidaten[[#This Row],[Zeitungstext]],5,Tab_Kandidaten[[#This Row],[Länge]]-9)</f>
        <v>Nämack, Lothar, Rentner</v>
      </c>
      <c r="F202" s="27">
        <f>VALUE(MID(Tab_Kandidaten[[#This Row],[Zeitungstext]],Tab_Kandidaten[[#This Row],[Länge]]-3,4))</f>
        <v>1954</v>
      </c>
      <c r="G202" s="27">
        <f>2020-Tab_Kandidaten[[#This Row],[GebJahr]]</f>
        <v>66</v>
      </c>
      <c r="H202" s="27">
        <f>ROUND(Tab_Kandidaten[[#This Row],[Alter]],-1)</f>
        <v>70</v>
      </c>
      <c r="I202" s="27">
        <f>QUOTIENT(Tab_Kandidaten[[#This Row],[ID]],100)</f>
        <v>8</v>
      </c>
      <c r="J202" s="27">
        <f>MOD(Tab_Kandidaten[[#This Row],[ID]],100)</f>
        <v>10</v>
      </c>
      <c r="K202" s="27">
        <f>Tab_Kandidaten[[#This Row],[Länge]]-LEN(SUBSTITUTE(Tab_Kandidaten[[#This Row],[Zeitungstext]],",",""))</f>
        <v>2</v>
      </c>
    </row>
    <row r="203" spans="2:11" x14ac:dyDescent="0.25">
      <c r="B203" t="s">
        <v>71</v>
      </c>
      <c r="C203">
        <f>LEN(Tab_Kandidaten[[#This Row],[Zeitungstext]])</f>
        <v>36</v>
      </c>
      <c r="D203">
        <f>VALUE(MID(Tab_Kandidaten[[#This Row],[Zeitungstext]],1,3))</f>
        <v>811</v>
      </c>
      <c r="E203" s="27" t="str">
        <f>MID(Tab_Kandidaten[[#This Row],[Zeitungstext]],5,Tab_Kandidaten[[#This Row],[Länge]]-9)</f>
        <v>Herzky, Sabine, Küchenhilfe</v>
      </c>
      <c r="F203" s="27">
        <f>VALUE(MID(Tab_Kandidaten[[#This Row],[Zeitungstext]],Tab_Kandidaten[[#This Row],[Länge]]-3,4))</f>
        <v>1961</v>
      </c>
      <c r="G203" s="27">
        <f>2020-Tab_Kandidaten[[#This Row],[GebJahr]]</f>
        <v>59</v>
      </c>
      <c r="H203" s="27">
        <f>ROUND(Tab_Kandidaten[[#This Row],[Alter]],-1)</f>
        <v>60</v>
      </c>
      <c r="I203" s="27">
        <f>QUOTIENT(Tab_Kandidaten[[#This Row],[ID]],100)</f>
        <v>8</v>
      </c>
      <c r="J203" s="27">
        <f>MOD(Tab_Kandidaten[[#This Row],[ID]],100)</f>
        <v>11</v>
      </c>
      <c r="K203" s="27">
        <f>Tab_Kandidaten[[#This Row],[Länge]]-LEN(SUBSTITUTE(Tab_Kandidaten[[#This Row],[Zeitungstext]],",",""))</f>
        <v>2</v>
      </c>
    </row>
    <row r="204" spans="2:11" x14ac:dyDescent="0.25">
      <c r="B204" t="s">
        <v>72</v>
      </c>
      <c r="C204">
        <f>LEN(Tab_Kandidaten[[#This Row],[Zeitungstext]])</f>
        <v>31</v>
      </c>
      <c r="D204">
        <f>VALUE(MID(Tab_Kandidaten[[#This Row],[Zeitungstext]],1,3))</f>
        <v>812</v>
      </c>
      <c r="E204" s="27" t="str">
        <f>MID(Tab_Kandidaten[[#This Row],[Zeitungstext]],5,Tab_Kandidaten[[#This Row],[Länge]]-9)</f>
        <v>Bär, Lothar, Pensionär</v>
      </c>
      <c r="F204" s="27">
        <f>VALUE(MID(Tab_Kandidaten[[#This Row],[Zeitungstext]],Tab_Kandidaten[[#This Row],[Länge]]-3,4))</f>
        <v>1947</v>
      </c>
      <c r="G204" s="27">
        <f>2020-Tab_Kandidaten[[#This Row],[GebJahr]]</f>
        <v>73</v>
      </c>
      <c r="H204" s="27">
        <f>ROUND(Tab_Kandidaten[[#This Row],[Alter]],-1)</f>
        <v>70</v>
      </c>
      <c r="I204" s="27">
        <f>QUOTIENT(Tab_Kandidaten[[#This Row],[ID]],100)</f>
        <v>8</v>
      </c>
      <c r="J204" s="27">
        <f>MOD(Tab_Kandidaten[[#This Row],[ID]],100)</f>
        <v>12</v>
      </c>
      <c r="K204" s="27">
        <f>Tab_Kandidaten[[#This Row],[Länge]]-LEN(SUBSTITUTE(Tab_Kandidaten[[#This Row],[Zeitungstext]],",",""))</f>
        <v>2</v>
      </c>
    </row>
    <row r="205" spans="2:11" x14ac:dyDescent="0.25">
      <c r="B205" t="s">
        <v>73</v>
      </c>
      <c r="C205">
        <f>LEN(Tab_Kandidaten[[#This Row],[Zeitungstext]])</f>
        <v>37</v>
      </c>
      <c r="D205">
        <f>VALUE(MID(Tab_Kandidaten[[#This Row],[Zeitungstext]],1,3))</f>
        <v>813</v>
      </c>
      <c r="E205" s="27" t="str">
        <f>MID(Tab_Kandidaten[[#This Row],[Zeitungstext]],5,Tab_Kandidaten[[#This Row],[Länge]]-9)</f>
        <v>Dietel, Maria, Raumpflegerin</v>
      </c>
      <c r="F205" s="27">
        <f>VALUE(MID(Tab_Kandidaten[[#This Row],[Zeitungstext]],Tab_Kandidaten[[#This Row],[Länge]]-3,4))</f>
        <v>1959</v>
      </c>
      <c r="G205" s="27">
        <f>2020-Tab_Kandidaten[[#This Row],[GebJahr]]</f>
        <v>61</v>
      </c>
      <c r="H205" s="27">
        <f>ROUND(Tab_Kandidaten[[#This Row],[Alter]],-1)</f>
        <v>60</v>
      </c>
      <c r="I205" s="27">
        <f>QUOTIENT(Tab_Kandidaten[[#This Row],[ID]],100)</f>
        <v>8</v>
      </c>
      <c r="J205" s="27">
        <f>MOD(Tab_Kandidaten[[#This Row],[ID]],100)</f>
        <v>13</v>
      </c>
      <c r="K205" s="27">
        <f>Tab_Kandidaten[[#This Row],[Länge]]-LEN(SUBSTITUTE(Tab_Kandidaten[[#This Row],[Zeitungstext]],",",""))</f>
        <v>2</v>
      </c>
    </row>
    <row r="206" spans="2:11" x14ac:dyDescent="0.25">
      <c r="B206" t="s">
        <v>74</v>
      </c>
      <c r="C206">
        <f>LEN(Tab_Kandidaten[[#This Row],[Zeitungstext]])</f>
        <v>49</v>
      </c>
      <c r="D206">
        <f>VALUE(MID(Tab_Kandidaten[[#This Row],[Zeitungstext]],1,3))</f>
        <v>901</v>
      </c>
      <c r="E206" s="27" t="str">
        <f>MID(Tab_Kandidaten[[#This Row],[Zeitungstext]],5,Tab_Kandidaten[[#This Row],[Länge]]-9)</f>
        <v>Böhm, Michael, selbstständiger Gastronom</v>
      </c>
      <c r="F206" s="27">
        <f>VALUE(MID(Tab_Kandidaten[[#This Row],[Zeitungstext]],Tab_Kandidaten[[#This Row],[Länge]]-3,4))</f>
        <v>1970</v>
      </c>
      <c r="G206" s="27">
        <f>2020-Tab_Kandidaten[[#This Row],[GebJahr]]</f>
        <v>50</v>
      </c>
      <c r="H206" s="27">
        <f>ROUND(Tab_Kandidaten[[#This Row],[Alter]],-1)</f>
        <v>50</v>
      </c>
      <c r="I206" s="27">
        <f>QUOTIENT(Tab_Kandidaten[[#This Row],[ID]],100)</f>
        <v>9</v>
      </c>
      <c r="J206" s="27">
        <f>MOD(Tab_Kandidaten[[#This Row],[ID]],100)</f>
        <v>1</v>
      </c>
      <c r="K206" s="27">
        <f>Tab_Kandidaten[[#This Row],[Länge]]-LEN(SUBSTITUTE(Tab_Kandidaten[[#This Row],[Zeitungstext]],",",""))</f>
        <v>2</v>
      </c>
    </row>
    <row r="207" spans="2:11" x14ac:dyDescent="0.25">
      <c r="B207" t="s">
        <v>75</v>
      </c>
      <c r="C207">
        <f>LEN(Tab_Kandidaten[[#This Row],[Zeitungstext]])</f>
        <v>39</v>
      </c>
      <c r="D207">
        <f>VALUE(MID(Tab_Kandidaten[[#This Row],[Zeitungstext]],1,3))</f>
        <v>902</v>
      </c>
      <c r="E207" s="27" t="str">
        <f>MID(Tab_Kandidaten[[#This Row],[Zeitungstext]],5,Tab_Kandidaten[[#This Row],[Länge]]-9)</f>
        <v>Korb, Stephan, Dipl.-Ing. (FH)</v>
      </c>
      <c r="F207" s="27">
        <f>VALUE(MID(Tab_Kandidaten[[#This Row],[Zeitungstext]],Tab_Kandidaten[[#This Row],[Länge]]-3,4))</f>
        <v>1971</v>
      </c>
      <c r="G207" s="27">
        <f>2020-Tab_Kandidaten[[#This Row],[GebJahr]]</f>
        <v>49</v>
      </c>
      <c r="H207" s="27">
        <f>ROUND(Tab_Kandidaten[[#This Row],[Alter]],-1)</f>
        <v>50</v>
      </c>
      <c r="I207" s="27">
        <f>QUOTIENT(Tab_Kandidaten[[#This Row],[ID]],100)</f>
        <v>9</v>
      </c>
      <c r="J207" s="27">
        <f>MOD(Tab_Kandidaten[[#This Row],[ID]],100)</f>
        <v>2</v>
      </c>
      <c r="K207" s="27">
        <f>Tab_Kandidaten[[#This Row],[Länge]]-LEN(SUBSTITUTE(Tab_Kandidaten[[#This Row],[Zeitungstext]],",",""))</f>
        <v>2</v>
      </c>
    </row>
    <row r="208" spans="2:11" x14ac:dyDescent="0.25">
      <c r="B208" t="s">
        <v>76</v>
      </c>
      <c r="C208">
        <f>LEN(Tab_Kandidaten[[#This Row],[Zeitungstext]])</f>
        <v>41</v>
      </c>
      <c r="D208">
        <f>VALUE(MID(Tab_Kandidaten[[#This Row],[Zeitungstext]],1,3))</f>
        <v>903</v>
      </c>
      <c r="E208" s="27" t="str">
        <f>MID(Tab_Kandidaten[[#This Row],[Zeitungstext]],5,Tab_Kandidaten[[#This Row],[Länge]]-9)</f>
        <v>Rödel, Michael, Fachinformatiker</v>
      </c>
      <c r="F208" s="27">
        <f>VALUE(MID(Tab_Kandidaten[[#This Row],[Zeitungstext]],Tab_Kandidaten[[#This Row],[Länge]]-3,4))</f>
        <v>1990</v>
      </c>
      <c r="G208" s="27">
        <f>2020-Tab_Kandidaten[[#This Row],[GebJahr]]</f>
        <v>30</v>
      </c>
      <c r="H208" s="27">
        <f>ROUND(Tab_Kandidaten[[#This Row],[Alter]],-1)</f>
        <v>30</v>
      </c>
      <c r="I208" s="27">
        <f>QUOTIENT(Tab_Kandidaten[[#This Row],[ID]],100)</f>
        <v>9</v>
      </c>
      <c r="J208" s="27">
        <f>MOD(Tab_Kandidaten[[#This Row],[ID]],100)</f>
        <v>3</v>
      </c>
      <c r="K208" s="27">
        <f>Tab_Kandidaten[[#This Row],[Länge]]-LEN(SUBSTITUTE(Tab_Kandidaten[[#This Row],[Zeitungstext]],",",""))</f>
        <v>2</v>
      </c>
    </row>
    <row r="209" spans="2:11" x14ac:dyDescent="0.25">
      <c r="B209" t="s">
        <v>77</v>
      </c>
      <c r="C209">
        <f>LEN(Tab_Kandidaten[[#This Row],[Zeitungstext]])</f>
        <v>48</v>
      </c>
      <c r="D209">
        <f>VALUE(MID(Tab_Kandidaten[[#This Row],[Zeitungstext]],1,3))</f>
        <v>904</v>
      </c>
      <c r="E209" s="27" t="str">
        <f>MID(Tab_Kandidaten[[#This Row],[Zeitungstext]],5,Tab_Kandidaten[[#This Row],[Länge]]-9)</f>
        <v>Rödel, Christine, Steuerfachangestellte</v>
      </c>
      <c r="F209" s="27">
        <f>VALUE(MID(Tab_Kandidaten[[#This Row],[Zeitungstext]],Tab_Kandidaten[[#This Row],[Länge]]-3,4))</f>
        <v>1962</v>
      </c>
      <c r="G209" s="27">
        <f>2020-Tab_Kandidaten[[#This Row],[GebJahr]]</f>
        <v>58</v>
      </c>
      <c r="H209" s="27">
        <f>ROUND(Tab_Kandidaten[[#This Row],[Alter]],-1)</f>
        <v>60</v>
      </c>
      <c r="I209" s="27">
        <f>QUOTIENT(Tab_Kandidaten[[#This Row],[ID]],100)</f>
        <v>9</v>
      </c>
      <c r="J209" s="27">
        <f>MOD(Tab_Kandidaten[[#This Row],[ID]],100)</f>
        <v>4</v>
      </c>
      <c r="K209" s="27">
        <f>Tab_Kandidaten[[#This Row],[Länge]]-LEN(SUBSTITUTE(Tab_Kandidaten[[#This Row],[Zeitungstext]],",",""))</f>
        <v>2</v>
      </c>
    </row>
    <row r="210" spans="2:11" x14ac:dyDescent="0.25">
      <c r="B210" t="s">
        <v>78</v>
      </c>
      <c r="C210">
        <f>LEN(Tab_Kandidaten[[#This Row],[Zeitungstext]])</f>
        <v>60</v>
      </c>
      <c r="D210">
        <f>VALUE(MID(Tab_Kandidaten[[#This Row],[Zeitungstext]],1,3))</f>
        <v>905</v>
      </c>
      <c r="E210" s="27" t="str">
        <f>MID(Tab_Kandidaten[[#This Row],[Zeitungstext]],5,Tab_Kandidaten[[#This Row],[Länge]]-9)</f>
        <v>Regalin, Sandra, Sozialversicherungsfachangestellte</v>
      </c>
      <c r="F210" s="27">
        <f>VALUE(MID(Tab_Kandidaten[[#This Row],[Zeitungstext]],Tab_Kandidaten[[#This Row],[Länge]]-3,4))</f>
        <v>1970</v>
      </c>
      <c r="G210" s="27">
        <f>2020-Tab_Kandidaten[[#This Row],[GebJahr]]</f>
        <v>50</v>
      </c>
      <c r="H210" s="27">
        <f>ROUND(Tab_Kandidaten[[#This Row],[Alter]],-1)</f>
        <v>50</v>
      </c>
      <c r="I210" s="27">
        <f>QUOTIENT(Tab_Kandidaten[[#This Row],[ID]],100)</f>
        <v>9</v>
      </c>
      <c r="J210" s="27">
        <f>MOD(Tab_Kandidaten[[#This Row],[ID]],100)</f>
        <v>5</v>
      </c>
      <c r="K210" s="27">
        <f>Tab_Kandidaten[[#This Row],[Länge]]-LEN(SUBSTITUTE(Tab_Kandidaten[[#This Row],[Zeitungstext]],",",""))</f>
        <v>2</v>
      </c>
    </row>
    <row r="211" spans="2:11" x14ac:dyDescent="0.25">
      <c r="B211" t="s">
        <v>79</v>
      </c>
      <c r="C211">
        <f>LEN(Tab_Kandidaten[[#This Row],[Zeitungstext]])</f>
        <v>46</v>
      </c>
      <c r="D211">
        <f>VALUE(MID(Tab_Kandidaten[[#This Row],[Zeitungstext]],1,3))</f>
        <v>906</v>
      </c>
      <c r="E211" s="27" t="str">
        <f>MID(Tab_Kandidaten[[#This Row],[Zeitungstext]],5,Tab_Kandidaten[[#This Row],[Länge]]-9)</f>
        <v>Baumgarten, Steffi, Industriekauffrau</v>
      </c>
      <c r="F211" s="27">
        <f>VALUE(MID(Tab_Kandidaten[[#This Row],[Zeitungstext]],Tab_Kandidaten[[#This Row],[Länge]]-3,4))</f>
        <v>1969</v>
      </c>
      <c r="G211" s="27">
        <f>2020-Tab_Kandidaten[[#This Row],[GebJahr]]</f>
        <v>51</v>
      </c>
      <c r="H211" s="27">
        <f>ROUND(Tab_Kandidaten[[#This Row],[Alter]],-1)</f>
        <v>50</v>
      </c>
      <c r="I211" s="27">
        <f>QUOTIENT(Tab_Kandidaten[[#This Row],[ID]],100)</f>
        <v>9</v>
      </c>
      <c r="J211" s="27">
        <f>MOD(Tab_Kandidaten[[#This Row],[ID]],100)</f>
        <v>6</v>
      </c>
      <c r="K211" s="27">
        <f>Tab_Kandidaten[[#This Row],[Länge]]-LEN(SUBSTITUTE(Tab_Kandidaten[[#This Row],[Zeitungstext]],",",""))</f>
        <v>2</v>
      </c>
    </row>
    <row r="212" spans="2:11" x14ac:dyDescent="0.25">
      <c r="B212" t="s">
        <v>80</v>
      </c>
      <c r="C212">
        <f>LEN(Tab_Kandidaten[[#This Row],[Zeitungstext]])</f>
        <v>34</v>
      </c>
      <c r="D212">
        <f>VALUE(MID(Tab_Kandidaten[[#This Row],[Zeitungstext]],1,3))</f>
        <v>907</v>
      </c>
      <c r="E212" s="27" t="str">
        <f>MID(Tab_Kandidaten[[#This Row],[Zeitungstext]],5,Tab_Kandidaten[[#This Row],[Länge]]-9)</f>
        <v>Schumann, Julia, Hausfrau</v>
      </c>
      <c r="F212" s="27">
        <f>VALUE(MID(Tab_Kandidaten[[#This Row],[Zeitungstext]],Tab_Kandidaten[[#This Row],[Länge]]-3,4))</f>
        <v>1987</v>
      </c>
      <c r="G212" s="27">
        <f>2020-Tab_Kandidaten[[#This Row],[GebJahr]]</f>
        <v>33</v>
      </c>
      <c r="H212" s="27">
        <f>ROUND(Tab_Kandidaten[[#This Row],[Alter]],-1)</f>
        <v>30</v>
      </c>
      <c r="I212" s="27">
        <f>QUOTIENT(Tab_Kandidaten[[#This Row],[ID]],100)</f>
        <v>9</v>
      </c>
      <c r="J212" s="27">
        <f>MOD(Tab_Kandidaten[[#This Row],[ID]],100)</f>
        <v>7</v>
      </c>
      <c r="K212" s="27">
        <f>Tab_Kandidaten[[#This Row],[Länge]]-LEN(SUBSTITUTE(Tab_Kandidaten[[#This Row],[Zeitungstext]],",",""))</f>
        <v>2</v>
      </c>
    </row>
    <row r="213" spans="2:11" x14ac:dyDescent="0.25">
      <c r="B213" t="s">
        <v>81</v>
      </c>
      <c r="C213">
        <f>LEN(Tab_Kandidaten[[#This Row],[Zeitungstext]])</f>
        <v>41</v>
      </c>
      <c r="D213">
        <f>VALUE(MID(Tab_Kandidaten[[#This Row],[Zeitungstext]],1,3))</f>
        <v>908</v>
      </c>
      <c r="E213" s="27" t="str">
        <f>MID(Tab_Kandidaten[[#This Row],[Zeitungstext]],5,Tab_Kandidaten[[#This Row],[Länge]]-9)</f>
        <v>Hummel, Mike, Dipl.-Informatiker</v>
      </c>
      <c r="F213" s="27">
        <f>VALUE(MID(Tab_Kandidaten[[#This Row],[Zeitungstext]],Tab_Kandidaten[[#This Row],[Länge]]-3,4))</f>
        <v>1976</v>
      </c>
      <c r="G213" s="27">
        <f>2020-Tab_Kandidaten[[#This Row],[GebJahr]]</f>
        <v>44</v>
      </c>
      <c r="H213" s="27">
        <f>ROUND(Tab_Kandidaten[[#This Row],[Alter]],-1)</f>
        <v>40</v>
      </c>
      <c r="I213" s="27">
        <f>QUOTIENT(Tab_Kandidaten[[#This Row],[ID]],100)</f>
        <v>9</v>
      </c>
      <c r="J213" s="27">
        <f>MOD(Tab_Kandidaten[[#This Row],[ID]],100)</f>
        <v>8</v>
      </c>
      <c r="K213" s="27">
        <f>Tab_Kandidaten[[#This Row],[Länge]]-LEN(SUBSTITUTE(Tab_Kandidaten[[#This Row],[Zeitungstext]],",",""))</f>
        <v>2</v>
      </c>
    </row>
    <row r="214" spans="2:11" x14ac:dyDescent="0.25">
      <c r="B214" t="s">
        <v>82</v>
      </c>
      <c r="C214">
        <f>LEN(Tab_Kandidaten[[#This Row],[Zeitungstext]])</f>
        <v>32</v>
      </c>
      <c r="D214">
        <f>VALUE(MID(Tab_Kandidaten[[#This Row],[Zeitungstext]],1,3))</f>
        <v>909</v>
      </c>
      <c r="E214" s="27" t="str">
        <f>MID(Tab_Kandidaten[[#This Row],[Zeitungstext]],5,Tab_Kandidaten[[#This Row],[Länge]]-9)</f>
        <v>Spranger, Roland, Autor</v>
      </c>
      <c r="F214" s="27">
        <f>VALUE(MID(Tab_Kandidaten[[#This Row],[Zeitungstext]],Tab_Kandidaten[[#This Row],[Länge]]-3,4))</f>
        <v>1963</v>
      </c>
      <c r="G214" s="27">
        <f>2020-Tab_Kandidaten[[#This Row],[GebJahr]]</f>
        <v>57</v>
      </c>
      <c r="H214" s="27">
        <f>ROUND(Tab_Kandidaten[[#This Row],[Alter]],-1)</f>
        <v>60</v>
      </c>
      <c r="I214" s="27">
        <f>QUOTIENT(Tab_Kandidaten[[#This Row],[ID]],100)</f>
        <v>9</v>
      </c>
      <c r="J214" s="27">
        <f>MOD(Tab_Kandidaten[[#This Row],[ID]],100)</f>
        <v>9</v>
      </c>
      <c r="K214" s="27">
        <f>Tab_Kandidaten[[#This Row],[Länge]]-LEN(SUBSTITUTE(Tab_Kandidaten[[#This Row],[Zeitungstext]],",",""))</f>
        <v>2</v>
      </c>
    </row>
    <row r="215" spans="2:11" x14ac:dyDescent="0.25">
      <c r="B215" t="s">
        <v>83</v>
      </c>
      <c r="C215">
        <f>LEN(Tab_Kandidaten[[#This Row],[Zeitungstext]])</f>
        <v>50</v>
      </c>
      <c r="D215">
        <f>VALUE(MID(Tab_Kandidaten[[#This Row],[Zeitungstext]],1,3))</f>
        <v>910</v>
      </c>
      <c r="E215" s="27" t="str">
        <f>MID(Tab_Kandidaten[[#This Row],[Zeitungstext]],5,Tab_Kandidaten[[#This Row],[Länge]]-9)</f>
        <v>Riegel, Jakob, freiwilliges soziales Jahr</v>
      </c>
      <c r="F215" s="27">
        <f>VALUE(MID(Tab_Kandidaten[[#This Row],[Zeitungstext]],Tab_Kandidaten[[#This Row],[Länge]]-3,4))</f>
        <v>2001</v>
      </c>
      <c r="G215" s="27">
        <f>2020-Tab_Kandidaten[[#This Row],[GebJahr]]</f>
        <v>19</v>
      </c>
      <c r="H215" s="27">
        <f>ROUND(Tab_Kandidaten[[#This Row],[Alter]],-1)</f>
        <v>20</v>
      </c>
      <c r="I215" s="27">
        <f>QUOTIENT(Tab_Kandidaten[[#This Row],[ID]],100)</f>
        <v>9</v>
      </c>
      <c r="J215" s="27">
        <f>MOD(Tab_Kandidaten[[#This Row],[ID]],100)</f>
        <v>10</v>
      </c>
      <c r="K215" s="27">
        <f>Tab_Kandidaten[[#This Row],[Länge]]-LEN(SUBSTITUTE(Tab_Kandidaten[[#This Row],[Zeitungstext]],",",""))</f>
        <v>2</v>
      </c>
    </row>
    <row r="216" spans="2:11" x14ac:dyDescent="0.25">
      <c r="B216" t="s">
        <v>84</v>
      </c>
      <c r="C216">
        <f>LEN(Tab_Kandidaten[[#This Row],[Zeitungstext]])</f>
        <v>62</v>
      </c>
      <c r="D216">
        <f>VALUE(MID(Tab_Kandidaten[[#This Row],[Zeitungstext]],1,3))</f>
        <v>911</v>
      </c>
      <c r="E216" s="27" t="str">
        <f>MID(Tab_Kandidaten[[#This Row],[Zeitungstext]],5,Tab_Kandidaten[[#This Row],[Länge]]-9)</f>
        <v>Schatz, Benjamin, Angestellter im öffentlichen Dienst</v>
      </c>
      <c r="F216" s="27">
        <f>VALUE(MID(Tab_Kandidaten[[#This Row],[Zeitungstext]],Tab_Kandidaten[[#This Row],[Länge]]-3,4))</f>
        <v>1983</v>
      </c>
      <c r="G216" s="27">
        <f>2020-Tab_Kandidaten[[#This Row],[GebJahr]]</f>
        <v>37</v>
      </c>
      <c r="H216" s="27">
        <f>ROUND(Tab_Kandidaten[[#This Row],[Alter]],-1)</f>
        <v>40</v>
      </c>
      <c r="I216" s="27">
        <f>QUOTIENT(Tab_Kandidaten[[#This Row],[ID]],100)</f>
        <v>9</v>
      </c>
      <c r="J216" s="27">
        <f>MOD(Tab_Kandidaten[[#This Row],[ID]],100)</f>
        <v>11</v>
      </c>
      <c r="K216" s="27">
        <f>Tab_Kandidaten[[#This Row],[Länge]]-LEN(SUBSTITUTE(Tab_Kandidaten[[#This Row],[Zeitungstext]],",",""))</f>
        <v>2</v>
      </c>
    </row>
    <row r="217" spans="2:11" x14ac:dyDescent="0.25">
      <c r="B217" t="s">
        <v>85</v>
      </c>
      <c r="C217">
        <f>LEN(Tab_Kandidaten[[#This Row],[Zeitungstext]])</f>
        <v>44</v>
      </c>
      <c r="D217">
        <f>VALUE(MID(Tab_Kandidaten[[#This Row],[Zeitungstext]],1,3))</f>
        <v>912</v>
      </c>
      <c r="E217" s="27" t="str">
        <f>MID(Tab_Kandidaten[[#This Row],[Zeitungstext]],5,Tab_Kandidaten[[#This Row],[Länge]]-9)</f>
        <v>Heydemann, Christian, Lagerarbeiter</v>
      </c>
      <c r="F217" s="27">
        <f>VALUE(MID(Tab_Kandidaten[[#This Row],[Zeitungstext]],Tab_Kandidaten[[#This Row],[Länge]]-3,4))</f>
        <v>1987</v>
      </c>
      <c r="G217" s="27">
        <f>2020-Tab_Kandidaten[[#This Row],[GebJahr]]</f>
        <v>33</v>
      </c>
      <c r="H217" s="27">
        <f>ROUND(Tab_Kandidaten[[#This Row],[Alter]],-1)</f>
        <v>30</v>
      </c>
      <c r="I217" s="27">
        <f>QUOTIENT(Tab_Kandidaten[[#This Row],[ID]],100)</f>
        <v>9</v>
      </c>
      <c r="J217" s="27">
        <f>MOD(Tab_Kandidaten[[#This Row],[ID]],100)</f>
        <v>12</v>
      </c>
      <c r="K217" s="27">
        <f>Tab_Kandidaten[[#This Row],[Länge]]-LEN(SUBSTITUTE(Tab_Kandidaten[[#This Row],[Zeitungstext]],",",""))</f>
        <v>2</v>
      </c>
    </row>
    <row r="218" spans="2:11" x14ac:dyDescent="0.25">
      <c r="B218" t="s">
        <v>86</v>
      </c>
      <c r="C218">
        <f>LEN(Tab_Kandidaten[[#This Row],[Zeitungstext]])</f>
        <v>37</v>
      </c>
      <c r="D218">
        <f>VALUE(MID(Tab_Kandidaten[[#This Row],[Zeitungstext]],1,3))</f>
        <v>913</v>
      </c>
      <c r="E218" s="27" t="str">
        <f>MID(Tab_Kandidaten[[#This Row],[Zeitungstext]],5,Tab_Kandidaten[[#This Row],[Länge]]-9)</f>
        <v>Müller, Bettina, Angestellte</v>
      </c>
      <c r="F218" s="27">
        <f>VALUE(MID(Tab_Kandidaten[[#This Row],[Zeitungstext]],Tab_Kandidaten[[#This Row],[Länge]]-3,4))</f>
        <v>1957</v>
      </c>
      <c r="G218" s="27">
        <f>2020-Tab_Kandidaten[[#This Row],[GebJahr]]</f>
        <v>63</v>
      </c>
      <c r="H218" s="27">
        <f>ROUND(Tab_Kandidaten[[#This Row],[Alter]],-1)</f>
        <v>60</v>
      </c>
      <c r="I218" s="27">
        <f>QUOTIENT(Tab_Kandidaten[[#This Row],[ID]],100)</f>
        <v>9</v>
      </c>
      <c r="J218" s="27">
        <f>MOD(Tab_Kandidaten[[#This Row],[ID]],100)</f>
        <v>13</v>
      </c>
      <c r="K218" s="27">
        <f>Tab_Kandidaten[[#This Row],[Länge]]-LEN(SUBSTITUTE(Tab_Kandidaten[[#This Row],[Zeitungstext]],",",""))</f>
        <v>2</v>
      </c>
    </row>
  </sheetData>
  <pageMargins left="0.7" right="0.7" top="0.78740157499999996" bottom="0.78740157499999996" header="0.3" footer="0.3"/>
  <customProperties>
    <customPr name="SSC_SHEET_GU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Stimmzettel</vt:lpstr>
      <vt:lpstr>Konfiguration</vt:lpstr>
      <vt:lpstr>Tabelle2</vt:lpstr>
      <vt:lpstr>GueltigeEinzelstimmen</vt:lpstr>
      <vt:lpstr>GueltigeStimmen</vt:lpstr>
      <vt:lpstr>ListenkreuzeOk</vt:lpstr>
      <vt:lpstr>MaxES</vt:lpstr>
      <vt:lpstr>MaxStimmen</vt:lpstr>
      <vt:lpstr>Reststimmen</vt:lpstr>
      <vt:lpstr>StimmenzahlOk</vt:lpstr>
      <vt:lpstr>VergebeneEinzelstimmen</vt:lpstr>
      <vt:lpstr>VergebeneListenstimmen</vt:lpstr>
    </vt:vector>
  </TitlesOfParts>
  <Company>FHVR Hof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oesterlein</cp:lastModifiedBy>
  <dcterms:created xsi:type="dcterms:W3CDTF">2020-01-18T12:24:05Z</dcterms:created>
  <dcterms:modified xsi:type="dcterms:W3CDTF">2020-03-04T11:43:19Z</dcterms:modified>
</cp:coreProperties>
</file>